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swgov.sharepoint.com/sites/DPCGovComms/Shared Documents/Campaign Performance Team/Ad &amp; Digital Comms Scheme/Scheme Evaluation Docments 2020/Supplier Lists/Supplier List Website Publishing/20. 4th April 2023/"/>
    </mc:Choice>
  </mc:AlternateContent>
  <xr:revisionPtr revIDLastSave="128" documentId="8_{8B2E703B-E358-4097-B9B6-302010145C7D}" xr6:coauthVersionLast="47" xr6:coauthVersionMax="47" xr10:uidLastSave="{EE428B6D-A82E-404C-8843-FDFEA0D1E7C7}"/>
  <bookViews>
    <workbookView xWindow="28680" yWindow="-120" windowWidth="29040" windowHeight="15840" xr2:uid="{A46C0D95-94A0-402D-BEDA-03FD0C90CB52}"/>
  </bookViews>
  <sheets>
    <sheet name="SORTED SUPPLIER LIST " sheetId="1" r:id="rId1"/>
    <sheet name="CALD" sheetId="2" r:id="rId2"/>
  </sheets>
  <definedNames>
    <definedName name="_xlnm._FilterDatabase" localSheetId="1" hidden="1">CALD!$A$3:$V$267</definedName>
    <definedName name="_xlnm._FilterDatabase" localSheetId="0" hidden="1">'SORTED SUPPLIER LIST '!$A$2:$BO$211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7" i="2" l="1"/>
  <c r="H267" i="2"/>
  <c r="G267" i="2"/>
  <c r="I266" i="2"/>
  <c r="H266" i="2"/>
  <c r="G266" i="2"/>
  <c r="G265" i="2"/>
  <c r="I264" i="2"/>
  <c r="H264" i="2"/>
  <c r="I263" i="2"/>
  <c r="H263" i="2"/>
  <c r="G263" i="2"/>
  <c r="I261" i="2"/>
  <c r="H261" i="2"/>
  <c r="G261" i="2"/>
  <c r="I260" i="2"/>
  <c r="H260" i="2"/>
  <c r="G260" i="2"/>
  <c r="I259" i="2"/>
  <c r="H259" i="2"/>
  <c r="G259" i="2"/>
  <c r="I255" i="2"/>
  <c r="H255" i="2"/>
  <c r="I254" i="2"/>
  <c r="H254" i="2"/>
  <c r="G254" i="2"/>
  <c r="I246" i="2"/>
  <c r="H246" i="2"/>
  <c r="G246" i="2"/>
  <c r="I245" i="2"/>
  <c r="H245" i="2"/>
  <c r="G245" i="2"/>
  <c r="I242" i="2"/>
  <c r="G242" i="2"/>
  <c r="I241" i="2"/>
  <c r="H241" i="2"/>
  <c r="G241" i="2"/>
  <c r="I238" i="2"/>
  <c r="H238" i="2"/>
  <c r="G238" i="2"/>
  <c r="I236" i="2"/>
  <c r="H236" i="2"/>
  <c r="G236" i="2"/>
  <c r="G235" i="2"/>
  <c r="I233" i="2"/>
  <c r="H233" i="2"/>
  <c r="G233" i="2"/>
  <c r="I230" i="2"/>
  <c r="H230" i="2"/>
  <c r="G230" i="2"/>
  <c r="I229" i="2"/>
  <c r="H229" i="2"/>
  <c r="G229" i="2"/>
  <c r="I228" i="2"/>
  <c r="G228" i="2"/>
  <c r="I227" i="2"/>
  <c r="G227" i="2"/>
  <c r="I226" i="2"/>
  <c r="H226" i="2"/>
  <c r="G226" i="2"/>
  <c r="I223" i="2"/>
  <c r="H223" i="2"/>
  <c r="G223" i="2"/>
  <c r="I222" i="2"/>
  <c r="G222" i="2"/>
  <c r="I221" i="2"/>
  <c r="G221" i="2"/>
  <c r="I219" i="2"/>
  <c r="H219" i="2"/>
  <c r="G219" i="2"/>
  <c r="I217" i="2"/>
  <c r="G217" i="2"/>
  <c r="I214" i="2"/>
  <c r="H214" i="2"/>
  <c r="G214" i="2"/>
  <c r="I211" i="2"/>
  <c r="G211" i="2"/>
  <c r="I210" i="2"/>
  <c r="H210" i="2"/>
  <c r="G210" i="2"/>
  <c r="I207" i="2"/>
  <c r="H207" i="2"/>
  <c r="G207" i="2"/>
  <c r="I206" i="2"/>
  <c r="G206" i="2"/>
  <c r="I205" i="2"/>
  <c r="G205" i="2"/>
  <c r="I203" i="2"/>
  <c r="H203" i="2"/>
  <c r="G203" i="2"/>
  <c r="I200" i="2"/>
  <c r="H200" i="2"/>
  <c r="G200" i="2"/>
  <c r="I198" i="2"/>
  <c r="H198" i="2"/>
  <c r="G198" i="2"/>
  <c r="I197" i="2"/>
  <c r="G197" i="2"/>
  <c r="I194" i="2"/>
  <c r="H194" i="2"/>
  <c r="G194" i="2"/>
  <c r="I192" i="2"/>
  <c r="H192" i="2"/>
  <c r="G192" i="2"/>
  <c r="I189" i="2"/>
  <c r="H189" i="2"/>
  <c r="G189" i="2"/>
  <c r="I188" i="2"/>
  <c r="H188" i="2"/>
  <c r="G188" i="2"/>
  <c r="I187" i="2"/>
  <c r="H187" i="2"/>
  <c r="G187" i="2"/>
  <c r="I186" i="2"/>
  <c r="G186" i="2"/>
  <c r="I185" i="2"/>
  <c r="H185" i="2"/>
  <c r="G185" i="2"/>
  <c r="I184" i="2"/>
  <c r="H184" i="2"/>
  <c r="G184" i="2"/>
  <c r="G182" i="2"/>
  <c r="I180" i="2"/>
  <c r="H180" i="2"/>
  <c r="G180" i="2"/>
  <c r="I179" i="2"/>
  <c r="H179" i="2"/>
  <c r="G179" i="2"/>
  <c r="I177" i="2"/>
  <c r="G177" i="2"/>
  <c r="I173" i="2"/>
  <c r="H173" i="2"/>
  <c r="G173" i="2"/>
  <c r="I171" i="2"/>
  <c r="H171" i="2"/>
  <c r="G171" i="2"/>
  <c r="I170" i="2"/>
  <c r="H170" i="2"/>
  <c r="G170" i="2"/>
  <c r="I169" i="2"/>
  <c r="G169" i="2"/>
  <c r="I167" i="2"/>
  <c r="H167" i="2"/>
  <c r="G167" i="2"/>
  <c r="I164" i="2"/>
  <c r="H164" i="2"/>
  <c r="G164" i="2"/>
  <c r="I162" i="2"/>
  <c r="H162" i="2"/>
  <c r="G162" i="2"/>
  <c r="I157" i="2"/>
  <c r="H157" i="2"/>
  <c r="G157" i="2"/>
  <c r="H156" i="2"/>
  <c r="G156" i="2"/>
  <c r="I155" i="2"/>
  <c r="H155" i="2"/>
  <c r="G155" i="2"/>
  <c r="I154" i="2"/>
  <c r="H154" i="2"/>
  <c r="G154" i="2"/>
  <c r="I152" i="2"/>
  <c r="G152" i="2"/>
  <c r="I149" i="2"/>
  <c r="H149" i="2"/>
  <c r="I147" i="2"/>
  <c r="H147" i="2"/>
  <c r="G147" i="2"/>
  <c r="I146" i="2"/>
  <c r="H146" i="2"/>
  <c r="G146" i="2"/>
  <c r="I145" i="2"/>
  <c r="H145" i="2"/>
  <c r="G145" i="2"/>
  <c r="I144" i="2"/>
  <c r="H144" i="2"/>
  <c r="G144" i="2"/>
  <c r="I143" i="2"/>
  <c r="H143" i="2"/>
  <c r="G143" i="2"/>
  <c r="I141" i="2"/>
  <c r="H141" i="2"/>
  <c r="G141" i="2"/>
  <c r="I140" i="2"/>
  <c r="H140" i="2"/>
  <c r="G140" i="2"/>
  <c r="I137" i="2"/>
  <c r="G137" i="2"/>
  <c r="I136" i="2"/>
  <c r="H136" i="2"/>
  <c r="G136" i="2"/>
  <c r="I132" i="2"/>
  <c r="H132" i="2"/>
  <c r="G132" i="2"/>
  <c r="I131" i="2"/>
  <c r="H131" i="2"/>
  <c r="G131" i="2"/>
  <c r="I128" i="2"/>
  <c r="G128" i="2"/>
  <c r="I126" i="2"/>
  <c r="G126" i="2"/>
  <c r="I125" i="2"/>
  <c r="G125" i="2"/>
  <c r="I123" i="2"/>
  <c r="H123" i="2"/>
  <c r="G123" i="2"/>
  <c r="I122" i="2"/>
  <c r="H122" i="2"/>
  <c r="G122" i="2"/>
  <c r="I121" i="2"/>
  <c r="G121" i="2"/>
  <c r="H120" i="2"/>
  <c r="G120" i="2"/>
  <c r="I117" i="2"/>
  <c r="G117" i="2"/>
  <c r="I116" i="2"/>
  <c r="H116" i="2"/>
  <c r="G116" i="2"/>
  <c r="I112" i="2"/>
  <c r="H112" i="2"/>
  <c r="G112" i="2"/>
  <c r="I107" i="2"/>
  <c r="G107" i="2"/>
  <c r="I106" i="2"/>
  <c r="G106" i="2"/>
  <c r="I104" i="2"/>
  <c r="H104" i="2"/>
  <c r="G104" i="2"/>
  <c r="H103" i="2"/>
  <c r="G103" i="2"/>
  <c r="I102" i="2"/>
  <c r="G102" i="2"/>
  <c r="I101" i="2"/>
  <c r="G101" i="2"/>
  <c r="I100" i="2"/>
  <c r="H100" i="2"/>
  <c r="G100" i="2"/>
  <c r="H99" i="2"/>
  <c r="G99" i="2"/>
  <c r="I98" i="2"/>
  <c r="G98" i="2"/>
  <c r="I96" i="2"/>
  <c r="G96" i="2"/>
  <c r="I92" i="2"/>
  <c r="H92" i="2"/>
  <c r="G92" i="2"/>
  <c r="I91" i="2"/>
  <c r="H91" i="2"/>
  <c r="G91" i="2"/>
  <c r="I89" i="2"/>
  <c r="H89" i="2"/>
  <c r="G89" i="2"/>
  <c r="I88" i="2"/>
  <c r="G88" i="2"/>
  <c r="I86" i="2"/>
  <c r="H86" i="2"/>
  <c r="G86" i="2"/>
  <c r="I85" i="2"/>
  <c r="H85" i="2"/>
  <c r="G85" i="2"/>
  <c r="I84" i="2"/>
  <c r="H84" i="2"/>
  <c r="G84" i="2"/>
  <c r="I83" i="2"/>
  <c r="H83" i="2"/>
  <c r="G83" i="2"/>
  <c r="I81" i="2"/>
  <c r="H81" i="2"/>
  <c r="G81" i="2"/>
  <c r="H80" i="2"/>
  <c r="G80" i="2"/>
  <c r="I79" i="2"/>
  <c r="H79" i="2"/>
  <c r="G79" i="2"/>
  <c r="I78" i="2"/>
  <c r="G78" i="2"/>
  <c r="I76" i="2"/>
  <c r="H76" i="2"/>
  <c r="I74" i="2"/>
  <c r="I72" i="2"/>
  <c r="G72" i="2"/>
  <c r="G69" i="2"/>
  <c r="I67" i="2"/>
  <c r="H67" i="2"/>
  <c r="G67" i="2"/>
  <c r="I65" i="2"/>
  <c r="H65" i="2"/>
  <c r="G65" i="2"/>
  <c r="I64" i="2"/>
  <c r="G64" i="2"/>
  <c r="I62" i="2"/>
  <c r="H62" i="2"/>
  <c r="G62" i="2"/>
  <c r="I61" i="2"/>
  <c r="G61" i="2"/>
  <c r="I60" i="2"/>
  <c r="G60" i="2"/>
  <c r="I59" i="2"/>
  <c r="H59" i="2"/>
  <c r="G59" i="2"/>
  <c r="H58" i="2"/>
  <c r="G58" i="2"/>
  <c r="I57" i="2"/>
  <c r="H57" i="2"/>
  <c r="G57" i="2"/>
  <c r="I54" i="2"/>
  <c r="H54" i="2"/>
  <c r="G54" i="2"/>
  <c r="I52" i="2"/>
  <c r="G52" i="2"/>
  <c r="I51" i="2"/>
  <c r="H51" i="2"/>
  <c r="G51" i="2"/>
  <c r="I49" i="2"/>
  <c r="G49" i="2"/>
  <c r="I47" i="2"/>
  <c r="H47" i="2"/>
  <c r="G47" i="2"/>
  <c r="I43" i="2"/>
  <c r="H43" i="2"/>
  <c r="G43" i="2"/>
  <c r="I42" i="2"/>
  <c r="H42" i="2"/>
  <c r="G42" i="2"/>
  <c r="I41" i="2"/>
  <c r="G41" i="2"/>
  <c r="G39" i="2"/>
  <c r="I37" i="2"/>
  <c r="H37" i="2"/>
  <c r="G37" i="2"/>
  <c r="I36" i="2"/>
  <c r="G36" i="2"/>
  <c r="I34" i="2"/>
  <c r="H34" i="2"/>
  <c r="G34" i="2"/>
  <c r="I30" i="2"/>
  <c r="H30" i="2"/>
  <c r="G30" i="2"/>
  <c r="I28" i="2"/>
  <c r="H28" i="2"/>
  <c r="I27" i="2"/>
  <c r="H27" i="2"/>
  <c r="G27" i="2"/>
  <c r="I26" i="2"/>
  <c r="H26" i="2"/>
  <c r="G26" i="2"/>
  <c r="I25" i="2"/>
  <c r="G25" i="2"/>
  <c r="I23" i="2"/>
  <c r="H23" i="2"/>
  <c r="G23" i="2"/>
  <c r="I22" i="2"/>
  <c r="H22" i="2"/>
  <c r="G22" i="2"/>
  <c r="I21" i="2"/>
  <c r="G21" i="2"/>
  <c r="I20" i="2"/>
  <c r="G20" i="2"/>
  <c r="I19" i="2"/>
  <c r="H19" i="2"/>
  <c r="G19" i="2"/>
  <c r="I18" i="2"/>
  <c r="H18" i="2"/>
  <c r="G18" i="2"/>
  <c r="I17" i="2"/>
  <c r="H17" i="2"/>
  <c r="G17" i="2"/>
  <c r="I16" i="2"/>
  <c r="H16" i="2"/>
  <c r="G16" i="2"/>
  <c r="I15" i="2"/>
  <c r="G15" i="2"/>
  <c r="H14" i="2"/>
  <c r="G14" i="2"/>
  <c r="I13" i="2"/>
  <c r="G13" i="2"/>
  <c r="I11" i="2"/>
  <c r="H11" i="2"/>
  <c r="G11" i="2"/>
  <c r="I7" i="2"/>
  <c r="H7" i="2"/>
  <c r="G7" i="2"/>
  <c r="I5" i="2"/>
  <c r="H5" i="2"/>
  <c r="G5" i="2"/>
  <c r="H5" i="1"/>
  <c r="G268" i="1"/>
  <c r="G238" i="1"/>
  <c r="I76" i="1"/>
  <c r="I81" i="1"/>
  <c r="G184" i="1"/>
  <c r="I187" i="1"/>
  <c r="H187" i="1"/>
  <c r="G187" i="1"/>
  <c r="I28" i="1"/>
  <c r="H28" i="1"/>
  <c r="I37" i="1"/>
  <c r="G37" i="1"/>
  <c r="I50" i="1"/>
  <c r="G50" i="1"/>
  <c r="I166" i="1"/>
  <c r="H166" i="1"/>
  <c r="G166" i="1"/>
  <c r="I74" i="1"/>
  <c r="G74" i="1"/>
  <c r="I133" i="1"/>
  <c r="H133" i="1"/>
  <c r="G133" i="1"/>
  <c r="I164" i="1"/>
  <c r="H164" i="1"/>
  <c r="G164" i="1"/>
  <c r="I231" i="1"/>
  <c r="G231" i="1"/>
  <c r="H14" i="1"/>
  <c r="G14" i="1"/>
  <c r="I26" i="1"/>
  <c r="H26" i="1"/>
  <c r="G26" i="1"/>
  <c r="I53" i="1"/>
  <c r="G53" i="1"/>
  <c r="I63" i="1"/>
  <c r="G63" i="1"/>
  <c r="I257" i="1"/>
  <c r="H257" i="1"/>
  <c r="G257" i="1"/>
  <c r="I194" i="1"/>
  <c r="H194" i="1"/>
  <c r="G194" i="1"/>
  <c r="I38" i="1"/>
  <c r="H38" i="1"/>
  <c r="G38" i="1"/>
  <c r="I100" i="1"/>
  <c r="G100" i="1"/>
  <c r="G40" i="1"/>
  <c r="I232" i="1"/>
  <c r="H232" i="1"/>
  <c r="G232" i="1"/>
  <c r="I143" i="1"/>
  <c r="H143" i="1"/>
  <c r="G143" i="1"/>
  <c r="I88" i="1"/>
  <c r="H88" i="1"/>
  <c r="G88" i="1"/>
  <c r="I264" i="1"/>
  <c r="H264" i="1"/>
  <c r="G264" i="1"/>
  <c r="I94" i="1"/>
  <c r="H94" i="1"/>
  <c r="G94" i="1"/>
  <c r="I156" i="1"/>
  <c r="H156" i="1"/>
  <c r="G156" i="1"/>
  <c r="I5" i="1"/>
  <c r="G5" i="1"/>
  <c r="I154" i="1"/>
  <c r="G154" i="1"/>
  <c r="I182" i="1"/>
  <c r="H182" i="1"/>
  <c r="G182" i="1"/>
  <c r="H158" i="1"/>
  <c r="G158" i="1"/>
  <c r="I179" i="1"/>
  <c r="G179" i="1"/>
  <c r="I151" i="1"/>
  <c r="H151" i="1"/>
  <c r="I56" i="1"/>
  <c r="H56" i="1"/>
  <c r="G56" i="1"/>
  <c r="I52" i="1"/>
  <c r="H52" i="1"/>
  <c r="G52" i="1"/>
  <c r="I248" i="1"/>
  <c r="H248" i="1"/>
  <c r="G248" i="1"/>
  <c r="I225" i="1"/>
  <c r="G225" i="1"/>
  <c r="I230" i="1"/>
  <c r="G230" i="1"/>
  <c r="I159" i="1"/>
  <c r="H159" i="1"/>
  <c r="G159" i="1"/>
  <c r="I93" i="1"/>
  <c r="H93" i="1"/>
  <c r="G93" i="1"/>
  <c r="H81" i="1"/>
  <c r="G81" i="1"/>
  <c r="I203" i="1"/>
  <c r="H203" i="1"/>
  <c r="G203" i="1"/>
  <c r="I267" i="1"/>
  <c r="H267" i="1"/>
  <c r="I224" i="1"/>
  <c r="G224" i="1"/>
  <c r="I69" i="1"/>
  <c r="H69" i="1"/>
  <c r="G69" i="1"/>
  <c r="I42" i="1"/>
  <c r="G42" i="1"/>
  <c r="I173" i="1"/>
  <c r="H173" i="1"/>
  <c r="G173" i="1"/>
  <c r="I16" i="1"/>
  <c r="H16" i="1"/>
  <c r="G16" i="1"/>
  <c r="I118" i="1"/>
  <c r="H118" i="1"/>
  <c r="G118" i="1"/>
  <c r="I125" i="1"/>
  <c r="H125" i="1"/>
  <c r="G125" i="1"/>
  <c r="I86" i="1"/>
  <c r="H86" i="1"/>
  <c r="G86" i="1"/>
  <c r="I13" i="1"/>
  <c r="G13" i="1"/>
  <c r="I106" i="1"/>
  <c r="H106" i="1"/>
  <c r="G106" i="1"/>
  <c r="I25" i="1"/>
  <c r="G25" i="1"/>
  <c r="I171" i="1"/>
  <c r="G171" i="1"/>
  <c r="I147" i="1"/>
  <c r="H147" i="1"/>
  <c r="G147" i="1"/>
  <c r="I22" i="1"/>
  <c r="H22" i="1"/>
  <c r="G22" i="1"/>
  <c r="I66" i="1"/>
  <c r="G66" i="1"/>
  <c r="I114" i="1"/>
  <c r="H114" i="1"/>
  <c r="G114" i="1"/>
  <c r="I149" i="1"/>
  <c r="H149" i="1"/>
  <c r="G149" i="1"/>
  <c r="I44" i="1"/>
  <c r="H44" i="1"/>
  <c r="G44" i="1"/>
  <c r="I83" i="1"/>
  <c r="H83" i="1"/>
  <c r="G83" i="1"/>
  <c r="I128" i="1"/>
  <c r="G128" i="1"/>
  <c r="G71" i="1"/>
  <c r="I236" i="1"/>
  <c r="H236" i="1"/>
  <c r="G236" i="1"/>
  <c r="I245" i="1"/>
  <c r="G245" i="1"/>
  <c r="I157" i="1"/>
  <c r="H157" i="1"/>
  <c r="G157" i="1"/>
  <c r="I262" i="1"/>
  <c r="H262" i="1"/>
  <c r="G262" i="1"/>
  <c r="I208" i="1"/>
  <c r="G208" i="1"/>
  <c r="I249" i="1"/>
  <c r="H249" i="1"/>
  <c r="G249" i="1"/>
  <c r="I90" i="1"/>
  <c r="G90" i="1"/>
  <c r="I123" i="1"/>
  <c r="G123" i="1"/>
  <c r="H122" i="1"/>
  <c r="G122" i="1"/>
  <c r="I43" i="1"/>
  <c r="H43" i="1"/>
  <c r="G43" i="1"/>
  <c r="I188" i="1"/>
  <c r="G188" i="1"/>
  <c r="I239" i="1"/>
  <c r="H239" i="1"/>
  <c r="G239" i="1"/>
  <c r="I91" i="1"/>
  <c r="H91" i="1"/>
  <c r="G91" i="1"/>
  <c r="I213" i="1"/>
  <c r="H213" i="1"/>
  <c r="G213" i="1"/>
  <c r="I20" i="1"/>
  <c r="G20" i="1"/>
  <c r="I189" i="1"/>
  <c r="H189" i="1"/>
  <c r="G189" i="1"/>
  <c r="I134" i="1"/>
  <c r="H134" i="1"/>
  <c r="G134" i="1"/>
  <c r="I104" i="1"/>
  <c r="G104" i="1"/>
  <c r="I148" i="1"/>
  <c r="H148" i="1"/>
  <c r="G148" i="1"/>
  <c r="I35" i="1"/>
  <c r="H35" i="1"/>
  <c r="G35" i="1"/>
  <c r="I217" i="1"/>
  <c r="H217" i="1"/>
  <c r="G217" i="1"/>
  <c r="H101" i="1"/>
  <c r="G101" i="1"/>
  <c r="I21" i="1"/>
  <c r="G21" i="1"/>
  <c r="I181" i="1"/>
  <c r="H181" i="1"/>
  <c r="G181" i="1"/>
  <c r="I15" i="1"/>
  <c r="G15" i="1"/>
  <c r="I191" i="1"/>
  <c r="H191" i="1"/>
  <c r="G191" i="1"/>
  <c r="H105" i="1"/>
  <c r="G105" i="1"/>
  <c r="I30" i="1"/>
  <c r="H30" i="1"/>
  <c r="G30" i="1"/>
  <c r="I102" i="1"/>
  <c r="H102" i="1"/>
  <c r="G102" i="1"/>
  <c r="I200" i="1"/>
  <c r="H200" i="1"/>
  <c r="G200" i="1"/>
  <c r="I23" i="1"/>
  <c r="H23" i="1"/>
  <c r="G23" i="1"/>
  <c r="I87" i="1"/>
  <c r="H87" i="1"/>
  <c r="G87" i="1"/>
  <c r="I190" i="1"/>
  <c r="H190" i="1"/>
  <c r="G190" i="1"/>
  <c r="I210" i="1"/>
  <c r="H210" i="1"/>
  <c r="G210" i="1"/>
  <c r="I169" i="1"/>
  <c r="H169" i="1"/>
  <c r="G169" i="1"/>
  <c r="H60" i="1"/>
  <c r="G60" i="1"/>
  <c r="I139" i="1"/>
  <c r="G139" i="1"/>
  <c r="I127" i="1"/>
  <c r="G127" i="1"/>
  <c r="I220" i="1"/>
  <c r="G220" i="1"/>
  <c r="I222" i="1"/>
  <c r="H222" i="1"/>
  <c r="G222" i="1"/>
  <c r="I206" i="1"/>
  <c r="H206" i="1"/>
  <c r="G206" i="1"/>
  <c r="I17" i="1"/>
  <c r="H17" i="1"/>
  <c r="G17" i="1"/>
  <c r="I11" i="1"/>
  <c r="H11" i="1"/>
  <c r="G11" i="1"/>
  <c r="I64" i="1"/>
  <c r="H64" i="1"/>
  <c r="G64" i="1"/>
  <c r="I258" i="1"/>
  <c r="H258" i="1"/>
  <c r="I130" i="1"/>
  <c r="G130" i="1"/>
  <c r="I62" i="1"/>
  <c r="G62" i="1"/>
  <c r="I146" i="1"/>
  <c r="H146" i="1"/>
  <c r="G146" i="1"/>
  <c r="I61" i="1"/>
  <c r="H61" i="1"/>
  <c r="G61" i="1"/>
  <c r="I142" i="1"/>
  <c r="H142" i="1"/>
  <c r="G142" i="1"/>
  <c r="I119" i="1"/>
  <c r="G119" i="1"/>
  <c r="I175" i="1"/>
  <c r="H175" i="1"/>
  <c r="G175" i="1"/>
  <c r="I138" i="1"/>
  <c r="H138" i="1"/>
  <c r="G138" i="1"/>
  <c r="I145" i="1"/>
  <c r="H145" i="1"/>
  <c r="G145" i="1"/>
  <c r="I59" i="1"/>
  <c r="H59" i="1"/>
  <c r="G59" i="1"/>
  <c r="I27" i="1"/>
  <c r="H27" i="1"/>
  <c r="G27" i="1"/>
  <c r="I266" i="1"/>
  <c r="H266" i="1"/>
  <c r="G266" i="1"/>
  <c r="I18" i="1"/>
  <c r="H18" i="1"/>
  <c r="G18" i="1"/>
  <c r="I244" i="1"/>
  <c r="H244" i="1"/>
  <c r="G244" i="1"/>
  <c r="I109" i="1"/>
  <c r="G109" i="1"/>
  <c r="I233" i="1"/>
  <c r="H233" i="1"/>
  <c r="G233" i="1"/>
  <c r="I80" i="1"/>
  <c r="G80" i="1"/>
  <c r="I108" i="1"/>
  <c r="G108" i="1"/>
  <c r="I186" i="1"/>
  <c r="H186" i="1"/>
  <c r="G186" i="1"/>
  <c r="I270" i="1"/>
  <c r="H270" i="1"/>
  <c r="G270" i="1"/>
  <c r="I263" i="1"/>
  <c r="H263" i="1"/>
  <c r="G263" i="1"/>
  <c r="I7" i="1"/>
  <c r="H7" i="1"/>
  <c r="G7" i="1"/>
  <c r="I98" i="1"/>
  <c r="G98" i="1"/>
  <c r="I209" i="1"/>
  <c r="G209" i="1"/>
  <c r="I269" i="1"/>
  <c r="H269" i="1"/>
  <c r="G269" i="1"/>
  <c r="I196" i="1"/>
  <c r="H196" i="1"/>
  <c r="G196" i="1"/>
  <c r="I172" i="1"/>
  <c r="H172" i="1"/>
  <c r="G172" i="1"/>
  <c r="I226" i="1"/>
  <c r="H226" i="1"/>
  <c r="G226" i="1"/>
  <c r="H82" i="1"/>
  <c r="G82" i="1"/>
  <c r="I85" i="1"/>
  <c r="H85" i="1"/>
  <c r="G85" i="1"/>
  <c r="I103" i="1"/>
  <c r="G103" i="1"/>
  <c r="I19" i="1"/>
  <c r="H19" i="1"/>
  <c r="G19" i="1"/>
  <c r="I214" i="1"/>
  <c r="G214" i="1"/>
  <c r="I241" i="1"/>
  <c r="H241" i="1"/>
  <c r="G241" i="1"/>
  <c r="I67" i="1"/>
  <c r="H67" i="1"/>
  <c r="G67" i="1"/>
  <c r="I229" i="1"/>
  <c r="H229" i="1"/>
  <c r="G229" i="1"/>
  <c r="I48" i="1"/>
  <c r="H48" i="1"/>
  <c r="G48" i="1"/>
  <c r="I78" i="1"/>
  <c r="H78" i="1"/>
  <c r="I199" i="1"/>
  <c r="G199" i="1"/>
  <c r="I124" i="1"/>
  <c r="H124" i="1"/>
  <c r="G124" i="1"/>
</calcChain>
</file>

<file path=xl/sharedStrings.xml><?xml version="1.0" encoding="utf-8"?>
<sst xmlns="http://schemas.openxmlformats.org/spreadsheetml/2006/main" count="6477" uniqueCount="1440">
  <si>
    <t>SCM2701 Advertising and Digital Communications Scheme - Successful Vendors</t>
  </si>
  <si>
    <t>Business Name</t>
  </si>
  <si>
    <t>ABN</t>
  </si>
  <si>
    <t>Indigenous Owned Business</t>
  </si>
  <si>
    <t>Contact Name</t>
  </si>
  <si>
    <t>Contact Position</t>
  </si>
  <si>
    <t>State/Territory</t>
  </si>
  <si>
    <t>Postcode</t>
  </si>
  <si>
    <t>Phone Number</t>
  </si>
  <si>
    <t>Mobile Number</t>
  </si>
  <si>
    <t>Email Address</t>
  </si>
  <si>
    <t>Web Address</t>
  </si>
  <si>
    <t>MARKET RESEARCH</t>
  </si>
  <si>
    <t>STRATEGY</t>
  </si>
  <si>
    <t>MARKETING AND CAMPAIGN SERVICES</t>
  </si>
  <si>
    <t>PUBLIC RELATIONS</t>
  </si>
  <si>
    <t>SOCIAL MEDIA</t>
  </si>
  <si>
    <t>INDIGENOUS COMMUNICATIONS AND ENGAGEMENT</t>
  </si>
  <si>
    <t>CALD COMMUNICATIONS AND ENGAGEMENT</t>
  </si>
  <si>
    <t>VISUAL COMMUNICATIONS</t>
  </si>
  <si>
    <t>WRITTEN COMMS</t>
  </si>
  <si>
    <t>DIGITAL COMMUNICATIONS</t>
  </si>
  <si>
    <t>PRODUCTION</t>
  </si>
  <si>
    <t>Customer segmentation</t>
  </si>
  <si>
    <t>Decision journeys</t>
  </si>
  <si>
    <t>Qualitative research</t>
  </si>
  <si>
    <t>Quantitative research</t>
  </si>
  <si>
    <t>Stakeholder engagement and interviews</t>
  </si>
  <si>
    <t>Workshop / focus group facilitation</t>
  </si>
  <si>
    <t>Brand strategy</t>
  </si>
  <si>
    <t>Communication strategy</t>
  </si>
  <si>
    <t>Digital strategy</t>
  </si>
  <si>
    <t>Social media strategy</t>
  </si>
  <si>
    <t>Visual communication strategy</t>
  </si>
  <si>
    <t>Brand development and management</t>
  </si>
  <si>
    <t>Creative campaign development and implementation (advertising campaign)</t>
  </si>
  <si>
    <t>Direct/email marketing</t>
  </si>
  <si>
    <t>Experiential marketing</t>
  </si>
  <si>
    <t>Marketing and Campaign Services - Behaviour change</t>
  </si>
  <si>
    <t>Community relations</t>
  </si>
  <si>
    <t>Crisis management</t>
  </si>
  <si>
    <t>Public affairs</t>
  </si>
  <si>
    <t>Community management</t>
  </si>
  <si>
    <t>Content creation</t>
  </si>
  <si>
    <t>Influencer management</t>
  </si>
  <si>
    <t>Influencer marketing</t>
  </si>
  <si>
    <t>Social media - Behaviour change</t>
  </si>
  <si>
    <t>Creative</t>
  </si>
  <si>
    <t>Indigenous communications and engagement - Translation</t>
  </si>
  <si>
    <t>Indigenous marketing</t>
  </si>
  <si>
    <t>Research</t>
  </si>
  <si>
    <t>Strategy</t>
  </si>
  <si>
    <t>CALD communications and engagement - Translation</t>
  </si>
  <si>
    <t>CALD creative</t>
  </si>
  <si>
    <t>CALD research</t>
  </si>
  <si>
    <t>CALD strategy</t>
  </si>
  <si>
    <t>In-language research</t>
  </si>
  <si>
    <t>Multicultural marketing</t>
  </si>
  <si>
    <t>Branding and identity</t>
  </si>
  <si>
    <t>Concept development (n-advertising campaign)</t>
  </si>
  <si>
    <t>Graphic design</t>
  </si>
  <si>
    <t>Illustration</t>
  </si>
  <si>
    <t>Copywriting / Content writing</t>
  </si>
  <si>
    <t>Editing &amp; proofing</t>
  </si>
  <si>
    <t>Affiliate marketing</t>
  </si>
  <si>
    <t>Content auditing/governance software</t>
  </si>
  <si>
    <t>Content marketing</t>
  </si>
  <si>
    <t>Digital content development and management</t>
  </si>
  <si>
    <t>Marketing automation</t>
  </si>
  <si>
    <t>Search engine optimisation</t>
  </si>
  <si>
    <t>Web to print services</t>
  </si>
  <si>
    <t>Animation</t>
  </si>
  <si>
    <t>Concept development</t>
  </si>
  <si>
    <t>Film editing</t>
  </si>
  <si>
    <t>Filmography</t>
  </si>
  <si>
    <t>Photo editing</t>
  </si>
  <si>
    <t>Photography</t>
  </si>
  <si>
    <t>Video editing</t>
  </si>
  <si>
    <t>Videography</t>
  </si>
  <si>
    <t xml:space="preserve">	72andSunny</t>
  </si>
  <si>
    <t>No</t>
  </si>
  <si>
    <t xml:space="preserve"> Ross Berthinussen</t>
  </si>
  <si>
    <t>President</t>
  </si>
  <si>
    <t>NSW</t>
  </si>
  <si>
    <t>0422375855</t>
  </si>
  <si>
    <t>katie.henderson@72andsunny.com</t>
  </si>
  <si>
    <t>https://72andsunny.com/</t>
  </si>
  <si>
    <t>Yes</t>
  </si>
  <si>
    <t>33 Creative</t>
  </si>
  <si>
    <t>Georgia Cordukes</t>
  </si>
  <si>
    <t>Director</t>
  </si>
  <si>
    <t>georgia@33creative.com.au</t>
  </si>
  <si>
    <t>https://33creative.com.au</t>
  </si>
  <si>
    <t>4bmedia Pty Ltd</t>
  </si>
  <si>
    <t>Pip Ward</t>
  </si>
  <si>
    <t>Business Development Manager</t>
  </si>
  <si>
    <t>02 8882 9333</t>
  </si>
  <si>
    <t>0437720707</t>
  </si>
  <si>
    <t>phillipa@4bmedia.tv</t>
  </si>
  <si>
    <t>https://4bmedia.tv</t>
  </si>
  <si>
    <t>5ivesenses Experiential</t>
  </si>
  <si>
    <t>Michael Harrington</t>
  </si>
  <si>
    <t>michael@5ivesenses.com.au</t>
  </si>
  <si>
    <t>https://www.5ivesenses.com.au</t>
  </si>
  <si>
    <t>89 Degrees East</t>
  </si>
  <si>
    <t>Ruth Swinton</t>
  </si>
  <si>
    <t>Business Manager</t>
  </si>
  <si>
    <t>ACT</t>
  </si>
  <si>
    <t>02 6680 9220</t>
  </si>
  <si>
    <t>0429952449</t>
  </si>
  <si>
    <t>ruth@89degreeseast.com</t>
  </si>
  <si>
    <t>https://89degreeseast.com</t>
  </si>
  <si>
    <t>90 Seconds</t>
  </si>
  <si>
    <t>Adam Powell</t>
  </si>
  <si>
    <t>Managing Director ANZ</t>
  </si>
  <si>
    <t>QLD</t>
  </si>
  <si>
    <t xml:space="preserve">	0450416750</t>
  </si>
  <si>
    <t>adam.powell@90seconds.com</t>
  </si>
  <si>
    <t>http://www.90seconds.com</t>
  </si>
  <si>
    <t>Abergower Digital</t>
  </si>
  <si>
    <t>Danica Micallef</t>
  </si>
  <si>
    <t>National Project Coordinator</t>
  </si>
  <si>
    <t>02 8385 8995</t>
  </si>
  <si>
    <t>0401029801</t>
  </si>
  <si>
    <t>dmicallef@abergowerdigital.com.au</t>
  </si>
  <si>
    <t xml:space="preserve">	https://www.abergowerdigital.com.au/</t>
  </si>
  <si>
    <t>Acronym Design</t>
  </si>
  <si>
    <t>Melonie Ryan</t>
  </si>
  <si>
    <t>melonieryan@acronymdesign.com.au</t>
  </si>
  <si>
    <t>https://www.acronymdesign.com.au</t>
  </si>
  <si>
    <t>Actualise Design</t>
  </si>
  <si>
    <t xml:space="preserve"> James Hazelton</t>
  </si>
  <si>
    <t>Managing Director</t>
  </si>
  <si>
    <t>02 8052 9568</t>
  </si>
  <si>
    <t>0421866748</t>
  </si>
  <si>
    <t>james@actualisedesign.com</t>
  </si>
  <si>
    <t>https://actualisedesign.com/</t>
  </si>
  <si>
    <t>Addie Studio Pty Ltd</t>
  </si>
  <si>
    <t>Adam Plucinski</t>
  </si>
  <si>
    <t>Creative Director</t>
  </si>
  <si>
    <t>info@addiestudio.com</t>
  </si>
  <si>
    <t>https://www.addiestudio.com</t>
  </si>
  <si>
    <t>Adrenalin Media Pty Ltd</t>
  </si>
  <si>
    <t>Bernie Johnson</t>
  </si>
  <si>
    <t>bernie.johnson@adrenalinmedia.com.au</t>
  </si>
  <si>
    <t>https://www.adrenalinmedia.com.au</t>
  </si>
  <si>
    <t>Aenima Pty Ltd</t>
  </si>
  <si>
    <t>Aleksandar Vuksanovic</t>
  </si>
  <si>
    <t>info@aenima.com.au</t>
  </si>
  <si>
    <t>https://www.aenima.com.au</t>
  </si>
  <si>
    <t>Affinity</t>
  </si>
  <si>
    <t>Luke Brown</t>
  </si>
  <si>
    <t>CEO</t>
  </si>
  <si>
    <t>luke@affinity.ad</t>
  </si>
  <si>
    <t>https://www.affinity.ad</t>
  </si>
  <si>
    <t>Agent 99 Public Relations</t>
  </si>
  <si>
    <t>Sharon Zeev Poole</t>
  </si>
  <si>
    <t>sharon@agent99pr.com</t>
  </si>
  <si>
    <t>https://agent99pr.com/</t>
  </si>
  <si>
    <t>Alphabet Studio</t>
  </si>
  <si>
    <t xml:space="preserve">Tim Kliendienst </t>
  </si>
  <si>
    <t xml:space="preserve">Director </t>
  </si>
  <si>
    <t xml:space="preserve">tim@alphabetstudio.co </t>
  </si>
  <si>
    <t>https://www.alphabetstudio.co</t>
  </si>
  <si>
    <t>Am I Customer Engagement</t>
  </si>
  <si>
    <t>Nicholas Wonders</t>
  </si>
  <si>
    <t>nicholas@am-i.com.au</t>
  </si>
  <si>
    <t>https://www.am-i.com.au</t>
  </si>
  <si>
    <t>AnalogFolk Australia Pty Ltd</t>
  </si>
  <si>
    <t>Matt Robinson</t>
  </si>
  <si>
    <t>matt.robinson@analogfolk.com</t>
  </si>
  <si>
    <t>https://www.analogfolk.com</t>
  </si>
  <si>
    <t>Anna Zhu Pty Ltd</t>
  </si>
  <si>
    <t>Anna Zhu</t>
  </si>
  <si>
    <t>a@annazhu.com</t>
  </si>
  <si>
    <t>https://www.annazhu.com</t>
  </si>
  <si>
    <t xml:space="preserve">Another Colour </t>
  </si>
  <si>
    <t>Steven Scott</t>
  </si>
  <si>
    <t>Creative Director &amp; Founder</t>
  </si>
  <si>
    <t>steve@anothercolour.com.au</t>
  </si>
  <si>
    <t>https://anothercolour.com.au</t>
  </si>
  <si>
    <t>Antelope Media Pty Ltd</t>
  </si>
  <si>
    <t>Ralph Grayden</t>
  </si>
  <si>
    <t>Content Director</t>
  </si>
  <si>
    <t>ralph@antelopemedia.com.au</t>
  </si>
  <si>
    <t>https://antelopemedia.com.au</t>
  </si>
  <si>
    <t xml:space="preserve">Apostle Digital </t>
  </si>
  <si>
    <t>Tim Nagle</t>
  </si>
  <si>
    <t>0422722100</t>
  </si>
  <si>
    <t>tim@apostledigital.com</t>
  </si>
  <si>
    <t>https://www.apostledigital.com</t>
  </si>
  <si>
    <t>Apparent Communications Pty Ltd</t>
  </si>
  <si>
    <t>Suzy Smiley</t>
  </si>
  <si>
    <t>suzy.smiley@apparent.com.au</t>
  </si>
  <si>
    <t>https://www.apparent.com.au</t>
  </si>
  <si>
    <t>April 5 Pty Ltd</t>
  </si>
  <si>
    <t>Alicia Beachley</t>
  </si>
  <si>
    <t>alicia@april5.com.au</t>
  </si>
  <si>
    <t>https://www.april5.com.au</t>
  </si>
  <si>
    <t>Archibald Williams</t>
  </si>
  <si>
    <t>Tracey Crowley</t>
  </si>
  <si>
    <t>tracey.crowley@archibaldwilliams.com</t>
  </si>
  <si>
    <t>https://www.archibaldwilliams.com</t>
  </si>
  <si>
    <t>Art of Multimedia</t>
  </si>
  <si>
    <t>Beata Kade</t>
  </si>
  <si>
    <t>beata@artofmultimedia.com.au</t>
  </si>
  <si>
    <t>https://artofmultimedia.com.au</t>
  </si>
  <si>
    <t>Audience Productions</t>
  </si>
  <si>
    <t>Ashleigh Hanley</t>
  </si>
  <si>
    <t>0400959075</t>
  </si>
  <si>
    <t>ash@audienceproductions.com</t>
  </si>
  <si>
    <t>https://www.audienceproductions.com</t>
  </si>
  <si>
    <t>Australian Safari Pty Ltd</t>
  </si>
  <si>
    <t>Michael Titshall</t>
  </si>
  <si>
    <t>michael.titshall@rga.com</t>
  </si>
  <si>
    <t>https://www.rga.com/offices/sydney</t>
  </si>
  <si>
    <t xml:space="preserve">Bake Agency </t>
  </si>
  <si>
    <t>Jamie Andrei</t>
  </si>
  <si>
    <t>Founder &amp; Director</t>
  </si>
  <si>
    <t xml:space="preserve">	0449947731</t>
  </si>
  <si>
    <t>jamie@bake.agency</t>
  </si>
  <si>
    <t xml:space="preserve">	https://www.bake.agency</t>
  </si>
  <si>
    <t>Bastion Banjo PTY LTD</t>
  </si>
  <si>
    <t>Alex Carr</t>
  </si>
  <si>
    <t xml:space="preserve">	02 9061 1000</t>
  </si>
  <si>
    <t>0421692749</t>
  </si>
  <si>
    <t>alexc@banjo.com.au</t>
  </si>
  <si>
    <t>https://banjo.com.au</t>
  </si>
  <si>
    <t>Because Creative Experiences</t>
  </si>
  <si>
    <t>Meredith Cranmer</t>
  </si>
  <si>
    <t>Co-Founder &amp; Managing Director</t>
  </si>
  <si>
    <t>02 8202 7504</t>
  </si>
  <si>
    <t>0435270461</t>
  </si>
  <si>
    <t xml:space="preserve">	meredith.cranmer@becausexm.com</t>
  </si>
  <si>
    <t>https://www.becausexm.com</t>
  </si>
  <si>
    <t>Being Agency</t>
  </si>
  <si>
    <t>Alexandria Brock</t>
  </si>
  <si>
    <t>Relationship Manager</t>
  </si>
  <si>
    <t>alexandria@thebeinggroup.com</t>
  </si>
  <si>
    <t>https://thebeingagency.com/</t>
  </si>
  <si>
    <t>BEL Creative Studio</t>
  </si>
  <si>
    <t>Jake Iesu</t>
  </si>
  <si>
    <t>Producer/ Cinematographer</t>
  </si>
  <si>
    <t>0404021132</t>
  </si>
  <si>
    <t xml:space="preserve">	jake@belcreative.com.au</t>
  </si>
  <si>
    <t xml:space="preserve">	https://belcreative.com.au/</t>
  </si>
  <si>
    <t>Berge Farrell APAC</t>
  </si>
  <si>
    <t>John Chan</t>
  </si>
  <si>
    <t>john@bergefarrell.com</t>
  </si>
  <si>
    <t>https://www.bergefarrell.com</t>
  </si>
  <si>
    <t>Blackfisch Films</t>
  </si>
  <si>
    <t>Rodrigo Vidal Dawson</t>
  </si>
  <si>
    <t>Co Founder and Executive Producer</t>
  </si>
  <si>
    <t>rodrigo@blkfsch.com</t>
  </si>
  <si>
    <t>https://www.blkfsch.com</t>
  </si>
  <si>
    <t>BlackRhino Creative</t>
  </si>
  <si>
    <t>Angela Grabski</t>
  </si>
  <si>
    <t>Owner/Senior Graphic Designer</t>
  </si>
  <si>
    <t>0437965966</t>
  </si>
  <si>
    <t>info@blackrhinocreative.com.au</t>
  </si>
  <si>
    <t>https://www.blackrhinocreative.com.au</t>
  </si>
  <si>
    <t>BMF Advertising</t>
  </si>
  <si>
    <t>Georgia Suttie</t>
  </si>
  <si>
    <t>Business Director</t>
  </si>
  <si>
    <t>0413454499</t>
  </si>
  <si>
    <t>georgia.suttie@bmf.com.au</t>
  </si>
  <si>
    <t>https://www.bmf.com.au</t>
  </si>
  <si>
    <t>Boko Digital Solutions</t>
  </si>
  <si>
    <t>Maria Jose Mendieta</t>
  </si>
  <si>
    <t>0405608411</t>
  </si>
  <si>
    <t>mariam@boko.com.au</t>
  </si>
  <si>
    <t>https://boko.com.au/</t>
  </si>
  <si>
    <t>Brand Expression Pty Ltd</t>
  </si>
  <si>
    <t>Rowan Jacob</t>
  </si>
  <si>
    <t>rowan.j@brandexpression.com.au</t>
  </si>
  <si>
    <t>https://www.brandexpression.com.au</t>
  </si>
  <si>
    <t xml:space="preserve">Brand Faction </t>
  </si>
  <si>
    <t>Tony Gordon</t>
  </si>
  <si>
    <t>tonyg@brandfaction.com.au</t>
  </si>
  <si>
    <t>https://www.brandfaction.com.au</t>
  </si>
  <si>
    <t>Brand Matters Pty Ltd</t>
  </si>
  <si>
    <t>Paul Nelson</t>
  </si>
  <si>
    <t>info@brandmatters.com.au</t>
  </si>
  <si>
    <t>https://www.brandmatters.com.au</t>
  </si>
  <si>
    <t>Brandalism</t>
  </si>
  <si>
    <t>Tracy Fitzgerald</t>
  </si>
  <si>
    <t>02 8964 0155</t>
  </si>
  <si>
    <t>0410197018</t>
  </si>
  <si>
    <t>tracy@brandalism.com.au</t>
  </si>
  <si>
    <t>https://www.brandalism.com.au</t>
  </si>
  <si>
    <t>Brandergy Group Pty Ltd</t>
  </si>
  <si>
    <t>Jessy Zhang</t>
  </si>
  <si>
    <t>Account Director</t>
  </si>
  <si>
    <t>02 9318 2449</t>
  </si>
  <si>
    <t>0487618335</t>
  </si>
  <si>
    <t>jessy@brandergy.com.au</t>
  </si>
  <si>
    <t>https://www.brandergy.com.au</t>
  </si>
  <si>
    <t>Canopy Productions</t>
  </si>
  <si>
    <t>Martin Aspinall</t>
  </si>
  <si>
    <t>Executive Producer</t>
  </si>
  <si>
    <t>02 9167 0900</t>
  </si>
  <si>
    <t>0432649852</t>
  </si>
  <si>
    <t>martin@inthethicket.com.au</t>
  </si>
  <si>
    <t xml:space="preserve">	https://www.canopy.com.au/</t>
  </si>
  <si>
    <t>Canvas Group</t>
  </si>
  <si>
    <t>Naomi Muir</t>
  </si>
  <si>
    <t xml:space="preserve">Client Services Director </t>
  </si>
  <si>
    <t>info@canvasgroup.com.au</t>
  </si>
  <si>
    <t>https://www.canvasgroup.com.au</t>
  </si>
  <si>
    <t xml:space="preserve">Capstone Editing </t>
  </si>
  <si>
    <t>Zacharia Bruckner</t>
  </si>
  <si>
    <t>Company Director and Business Manager</t>
  </si>
  <si>
    <t>1800 224 468</t>
  </si>
  <si>
    <t>zac.bruckner@capstoneediting.com.au</t>
  </si>
  <si>
    <t>https://www.capstoneediting.com.au</t>
  </si>
  <si>
    <t xml:space="preserve">Capture Creative </t>
  </si>
  <si>
    <t>Aaron Busch</t>
  </si>
  <si>
    <t>aaron@capturecreative.com.au</t>
  </si>
  <si>
    <t>https://www.capturecreative.com.au/</t>
  </si>
  <si>
    <t>Caravel Content</t>
  </si>
  <si>
    <t>Daniel Parsons</t>
  </si>
  <si>
    <t>0432882528</t>
  </si>
  <si>
    <t xml:space="preserve">	create@caravel.co</t>
  </si>
  <si>
    <t>https://www.caravel.co</t>
  </si>
  <si>
    <t>Carbon 5 Pty Ltd</t>
  </si>
  <si>
    <t>Paul Lacey</t>
  </si>
  <si>
    <t>paul@carbon5.com.au</t>
  </si>
  <si>
    <t>https://www.carbon5creative.com.au/</t>
  </si>
  <si>
    <t>Cato Brand Parters</t>
  </si>
  <si>
    <t>Peter Wilson</t>
  </si>
  <si>
    <t>Parter &amp; Global Strategic Director</t>
  </si>
  <si>
    <t>peter.wilson@catobrandpartners.com</t>
  </si>
  <si>
    <t>https://www.catobrandpartners.com</t>
  </si>
  <si>
    <t>ChatHouse</t>
  </si>
  <si>
    <t>Amy Williams</t>
  </si>
  <si>
    <t>Partner</t>
  </si>
  <si>
    <t xml:space="preserve">	02 9967 3535</t>
  </si>
  <si>
    <t>0402062040</t>
  </si>
  <si>
    <t xml:space="preserve">	amy@chathouse.com.au</t>
  </si>
  <si>
    <t xml:space="preserve">	https://www.chathouse.com.au</t>
  </si>
  <si>
    <t>Chello Content</t>
  </si>
  <si>
    <t>Philippa Jameson</t>
  </si>
  <si>
    <t>General Manager</t>
  </si>
  <si>
    <t>philippa@chello.com.au</t>
  </si>
  <si>
    <t>https://www.chello.com.au</t>
  </si>
  <si>
    <t>Circul8</t>
  </si>
  <si>
    <t>Alana Stocks</t>
  </si>
  <si>
    <t xml:space="preserve"> 02 9331 6685</t>
  </si>
  <si>
    <t>0413699620</t>
  </si>
  <si>
    <t>alana@circul8.com.au</t>
  </si>
  <si>
    <t>https://www.circul8.com.au/</t>
  </si>
  <si>
    <t xml:space="preserve">Circus </t>
  </si>
  <si>
    <t>Lincoln Graham</t>
  </si>
  <si>
    <t>Chief Creative Director</t>
  </si>
  <si>
    <t>02 9954 6777</t>
  </si>
  <si>
    <t>0413810850</t>
  </si>
  <si>
    <t>lincoln@circusgroup.com</t>
  </si>
  <si>
    <t>https://www.circusgroup.com</t>
  </si>
  <si>
    <t>Clear Concept Productions</t>
  </si>
  <si>
    <t>Jeff Flood</t>
  </si>
  <si>
    <t>Owner</t>
  </si>
  <si>
    <t>jeff@clearconcept.com.au</t>
  </si>
  <si>
    <t>https://www.clearconcept.com.au</t>
  </si>
  <si>
    <t>Clemenger</t>
  </si>
  <si>
    <t>Jade Clark</t>
  </si>
  <si>
    <t>Client Services Director</t>
  </si>
  <si>
    <t>0412214090</t>
  </si>
  <si>
    <t>jade.clark@clemenger.com.au</t>
  </si>
  <si>
    <t>https://clemengerbbdo.com.au/en</t>
  </si>
  <si>
    <t>Clockwork Films Pty Ltd</t>
  </si>
  <si>
    <t>James Cohen</t>
  </si>
  <si>
    <t>jamie.cohen@clockworkfilms.tv</t>
  </si>
  <si>
    <t>https://www.clockworkfilms.com.au</t>
  </si>
  <si>
    <t>Common Ventures</t>
  </si>
  <si>
    <t>James Crawley</t>
  </si>
  <si>
    <t>james@commonv.com.au</t>
  </si>
  <si>
    <t>https://commonv.com.au</t>
  </si>
  <si>
    <t>Content Ark Pty Ltd</t>
  </si>
  <si>
    <t>Lennie Beattie</t>
  </si>
  <si>
    <t>VIC</t>
  </si>
  <si>
    <t>lennie@contentark.com.au</t>
  </si>
  <si>
    <t>https://www.contentark.com.au</t>
  </si>
  <si>
    <t>Cooper Films</t>
  </si>
  <si>
    <t>Brendan Cooper</t>
  </si>
  <si>
    <t>brendan@cooperfilms.net</t>
  </si>
  <si>
    <t>https://www.cooperfilms.net</t>
  </si>
  <si>
    <t>Corvid Copywriting</t>
  </si>
  <si>
    <t>Samantha Shilton</t>
  </si>
  <si>
    <t>0434965658</t>
  </si>
  <si>
    <t>samanthashilton@gmail.com</t>
  </si>
  <si>
    <t>https://sites.google.com/view/corvid-copywriting</t>
  </si>
  <si>
    <t>Creative Design Industries</t>
  </si>
  <si>
    <t>Mark Freeman</t>
  </si>
  <si>
    <t>mark@cdi-design.com.au</t>
  </si>
  <si>
    <t>https://www.cdi-design.com.au</t>
  </si>
  <si>
    <t>Cultural Perspectives</t>
  </si>
  <si>
    <t>Giuseppe Migliorino</t>
  </si>
  <si>
    <t>pino@culper.com.au</t>
  </si>
  <si>
    <t>https://www.culper.com.au</t>
  </si>
  <si>
    <t xml:space="preserve">Culture Shock Marketing </t>
  </si>
  <si>
    <t>David Clune</t>
  </si>
  <si>
    <t>Social Media Strategist</t>
  </si>
  <si>
    <t>0434192775</t>
  </si>
  <si>
    <t>david@cultureshock.marketing</t>
  </si>
  <si>
    <t>https://www.cultureshock.marketing/</t>
  </si>
  <si>
    <t>Cypha Interactive</t>
  </si>
  <si>
    <t>Daniel Christos</t>
  </si>
  <si>
    <t>daniel@wearecypha.com.au</t>
  </si>
  <si>
    <t>https://www.cyphainteractive.com.au/</t>
  </si>
  <si>
    <t>Dave Clark Design Associates Pty Limited</t>
  </si>
  <si>
    <t>Reuben Barrett</t>
  </si>
  <si>
    <t>Marketing Manager</t>
  </si>
  <si>
    <t>02 8416 0000</t>
  </si>
  <si>
    <t>+642102978641</t>
  </si>
  <si>
    <t>reuben@daveclark.co.nz</t>
  </si>
  <si>
    <t>https://www.daveclarkdesign.com/</t>
  </si>
  <si>
    <t>DDB Sydney</t>
  </si>
  <si>
    <t>Brittney Rigby</t>
  </si>
  <si>
    <t>Head of Communications and New Business</t>
  </si>
  <si>
    <t>0425567844</t>
  </si>
  <si>
    <t>brittney.rigby@syd.ddb.com</t>
  </si>
  <si>
    <t>https://www.ddb.com.au</t>
  </si>
  <si>
    <t>Definitive Group Pty Ltd</t>
  </si>
  <si>
    <t>02 9557 7400</t>
  </si>
  <si>
    <t>mike@definitivegroup.com.au</t>
  </si>
  <si>
    <t>https://www.definitivegroup.com.au</t>
  </si>
  <si>
    <t>Design &amp; Opinion</t>
  </si>
  <si>
    <t>Katherine Hall</t>
  </si>
  <si>
    <t>0404882217</t>
  </si>
  <si>
    <t>mail@designandopinion.com</t>
  </si>
  <si>
    <t xml:space="preserve">	https://www.designandopinion.com</t>
  </si>
  <si>
    <t xml:space="preserve">Design Davey </t>
  </si>
  <si>
    <t>Sean Aley</t>
  </si>
  <si>
    <t>Studio Manager</t>
  </si>
  <si>
    <t>02 9131 8800</t>
  </si>
  <si>
    <t>sean@designdavey.com.au</t>
  </si>
  <si>
    <t>https://designdavey.com.au</t>
  </si>
  <si>
    <t>DesignStreet</t>
  </si>
  <si>
    <t xml:space="preserve"> Graham Hardy</t>
  </si>
  <si>
    <t>02 9888 6577</t>
  </si>
  <si>
    <t>0401990189</t>
  </si>
  <si>
    <t>graham@designstreet.com.au</t>
  </si>
  <si>
    <t>https://www.designstreet.com.au/</t>
  </si>
  <si>
    <t>Dig Agency</t>
  </si>
  <si>
    <t>Lisa Ramsey</t>
  </si>
  <si>
    <t>lisa.ramsey@digagency.com.au</t>
  </si>
  <si>
    <t>https://www.digagency.com.au/</t>
  </si>
  <si>
    <t>Digital Storytellers</t>
  </si>
  <si>
    <t>Mikey Leung</t>
  </si>
  <si>
    <t>Director &amp; Co-Founder</t>
  </si>
  <si>
    <t xml:space="preserve">	0435386589</t>
  </si>
  <si>
    <t>mikey@digitalstorytellers.com.au</t>
  </si>
  <si>
    <t xml:space="preserve">	https://www.digitalstorytellers.com.au</t>
  </si>
  <si>
    <t>Dougal Digital</t>
  </si>
  <si>
    <t>Jo de Fina</t>
  </si>
  <si>
    <t>Founder &amp; Executive Producer</t>
  </si>
  <si>
    <t>jojo@hellootto.com.au</t>
  </si>
  <si>
    <t>https://hellootto.com.au/</t>
  </si>
  <si>
    <t>ECD Digital</t>
  </si>
  <si>
    <t xml:space="preserve">	72623362756</t>
  </si>
  <si>
    <t>Az Yousaf</t>
  </si>
  <si>
    <t>0416346242</t>
  </si>
  <si>
    <t>az@ecddigital.com.au</t>
  </si>
  <si>
    <t xml:space="preserve">	https://www.elephantscandance.com.au</t>
  </si>
  <si>
    <t>EDGE</t>
  </si>
  <si>
    <t>Fergus Stoddart</t>
  </si>
  <si>
    <t>Founding Partner</t>
  </si>
  <si>
    <t>fergus.stoddart@edge.agency</t>
  </si>
  <si>
    <t>https://edge.agency</t>
  </si>
  <si>
    <t>Editor Group Services</t>
  </si>
  <si>
    <t>Grant Butler</t>
  </si>
  <si>
    <t>Director &amp; Founder</t>
  </si>
  <si>
    <t>inbox@editorgroup.com</t>
  </si>
  <si>
    <t>https://www.editorgroup.com</t>
  </si>
  <si>
    <t>Elastic Studios Pty Ltd</t>
  </si>
  <si>
    <t>Nathan Richman</t>
  </si>
  <si>
    <t>Company Director</t>
  </si>
  <si>
    <t>nathan@elasticstudios.com.au</t>
  </si>
  <si>
    <t>https://elasticstudios.com.au/</t>
  </si>
  <si>
    <t>Ellis Jones Consulting</t>
  </si>
  <si>
    <t>Lisl Dubsky</t>
  </si>
  <si>
    <t>Office Manager</t>
  </si>
  <si>
    <t>lisl@ellisjones.com.au</t>
  </si>
  <si>
    <t>https://www.ellisjones.com.au</t>
  </si>
  <si>
    <t>Elm Communications</t>
  </si>
  <si>
    <t>Melanie Gibbons</t>
  </si>
  <si>
    <t>0432866382</t>
  </si>
  <si>
    <t xml:space="preserve">	hello@elmcommunications.com.au</t>
  </si>
  <si>
    <t>https://elmcommunications.com.au/</t>
  </si>
  <si>
    <t>Elton Ward Creative</t>
  </si>
  <si>
    <t>Simon Moore</t>
  </si>
  <si>
    <t>simon.moore@eltonward.com.au</t>
  </si>
  <si>
    <t>https://www.eltonward.com.au</t>
  </si>
  <si>
    <t>Embrace Society Pty Ltd</t>
  </si>
  <si>
    <t>Paula Masselos</t>
  </si>
  <si>
    <t>paula@embracesociety.com.au</t>
  </si>
  <si>
    <t>https://www.embracesociety.com.au</t>
  </si>
  <si>
    <t>Emotive Content</t>
  </si>
  <si>
    <t>Anna Burch</t>
  </si>
  <si>
    <t>annaburch@emotive.com.au</t>
  </si>
  <si>
    <t>https://www.emotive.com.au</t>
  </si>
  <si>
    <t>Energi Inspire &amp; Transform</t>
  </si>
  <si>
    <t>Angus Hosie</t>
  </si>
  <si>
    <t>ahosie@energi.com.au</t>
  </si>
  <si>
    <t>https://www.energi.com.au</t>
  </si>
  <si>
    <t>Engaging Communications Pty Limited</t>
  </si>
  <si>
    <t>Geff Harper</t>
  </si>
  <si>
    <t>Design Director</t>
  </si>
  <si>
    <t>0401605810</t>
  </si>
  <si>
    <t>geff@engaging.io</t>
  </si>
  <si>
    <t>https://www.engaging.io</t>
  </si>
  <si>
    <t>Engine Asia Pacific</t>
  </si>
  <si>
    <t>Shannon Coughlin</t>
  </si>
  <si>
    <t>Executive Director</t>
  </si>
  <si>
    <t>EngineAPAC@EngineGroup.com</t>
  </si>
  <si>
    <t>https://enginegroup.com/apac/</t>
  </si>
  <si>
    <t>Enigma Media</t>
  </si>
  <si>
    <t>Lisa Sutton Gardner</t>
  </si>
  <si>
    <t>lisa@enigma.net.au</t>
  </si>
  <si>
    <t>https://www.enigma.net.au</t>
  </si>
  <si>
    <t>Esem Projects</t>
  </si>
  <si>
    <t>Michael Killalea</t>
  </si>
  <si>
    <t>Co-Director</t>
  </si>
  <si>
    <t>0410698620</t>
  </si>
  <si>
    <t>michael@esemprojects.com</t>
  </si>
  <si>
    <t>https://esemprojects.com</t>
  </si>
  <si>
    <t>Etcom</t>
  </si>
  <si>
    <t>Lou Petrolo</t>
  </si>
  <si>
    <t>Managing Partner</t>
  </si>
  <si>
    <t>Lou.Petrolo@etcom.com.au</t>
  </si>
  <si>
    <t>https://etcom.com.au</t>
  </si>
  <si>
    <t>Ethnolink Language Services</t>
  </si>
  <si>
    <t>Costas Alex Vasili</t>
  </si>
  <si>
    <t>costa.vasili@ethnolink.com.au</t>
  </si>
  <si>
    <t>https://www.ethnolink.com.au/</t>
  </si>
  <si>
    <t xml:space="preserve">EUX Digital Agency </t>
  </si>
  <si>
    <t>Rupert Muir</t>
  </si>
  <si>
    <t xml:space="preserve">Sales Director  </t>
  </si>
  <si>
    <t>02 9121 6234</t>
  </si>
  <si>
    <t>0414696236</t>
  </si>
  <si>
    <t>rupert@eux.com.au</t>
  </si>
  <si>
    <t>https://eux.com.au/</t>
  </si>
  <si>
    <t>Explanimate! Pty Ltd</t>
  </si>
  <si>
    <t>Travis Hunt</t>
  </si>
  <si>
    <t>07 3503 1465</t>
  </si>
  <si>
    <t>0421762215</t>
  </si>
  <si>
    <t>travis@explanimate.com.au</t>
  </si>
  <si>
    <t>https://explanimate.com.au/</t>
  </si>
  <si>
    <t>Fiftyfive5</t>
  </si>
  <si>
    <t>Mathew Densten</t>
  </si>
  <si>
    <t>02 9211 3595</t>
  </si>
  <si>
    <t>0416291123</t>
  </si>
  <si>
    <t>tenders@fiftyfive5.com</t>
  </si>
  <si>
    <t>https://fiftyfive5.com/</t>
  </si>
  <si>
    <t>Film Construction</t>
  </si>
  <si>
    <t>Perry Bradley</t>
  </si>
  <si>
    <t>perry@filmconstruction.com</t>
  </si>
  <si>
    <t>https://www.filmconstruction.com</t>
  </si>
  <si>
    <t xml:space="preserve">FlagonDry Productions </t>
  </si>
  <si>
    <t>Tim Martin</t>
  </si>
  <si>
    <t xml:space="preserve">	0473488372</t>
  </si>
  <si>
    <t xml:space="preserve">	tim@flagondryproductions.com</t>
  </si>
  <si>
    <t xml:space="preserve">	https://www.flagondryproductions.com</t>
  </si>
  <si>
    <t>Fluffy Cloud Media Pty Ltd</t>
  </si>
  <si>
    <t>Lisa Marriott</t>
  </si>
  <si>
    <t>Creative Producer &amp; Partner</t>
  </si>
  <si>
    <t>fluffycloudmedia@gmail.com</t>
  </si>
  <si>
    <t>https://www.fluffycloudmedia.com.au</t>
  </si>
  <si>
    <t>Focus Creative</t>
  </si>
  <si>
    <t>Eleanor Moss</t>
  </si>
  <si>
    <t>Managing Director / Strategic Director</t>
  </si>
  <si>
    <t>0437512432</t>
  </si>
  <si>
    <t>ellie@focuscreative.com.au</t>
  </si>
  <si>
    <t>https://www.focuscreative.com.au</t>
  </si>
  <si>
    <t>Folk Pty Ltd</t>
  </si>
  <si>
    <t>Michael Broadhead</t>
  </si>
  <si>
    <t>michael@folk.com.au</t>
  </si>
  <si>
    <t>https://www.folk.com.au</t>
  </si>
  <si>
    <t>For The People</t>
  </si>
  <si>
    <t>Damian Borchok</t>
  </si>
  <si>
    <t>Co-Founder</t>
  </si>
  <si>
    <t>damian@forthepeople.agency</t>
  </si>
  <si>
    <t>https://www.forthepeople.agency</t>
  </si>
  <si>
    <t>Found At Sea</t>
  </si>
  <si>
    <t>Daniel Trotter</t>
  </si>
  <si>
    <t>dan@foundatsea.co</t>
  </si>
  <si>
    <t>https://www.foundatsea.co</t>
  </si>
  <si>
    <t xml:space="preserve">Fresco Creative </t>
  </si>
  <si>
    <t>Louise Formosa</t>
  </si>
  <si>
    <t>0419224258</t>
  </si>
  <si>
    <t>louise@frescocreative.com.au</t>
  </si>
  <si>
    <t>https://www.frescocreative.com.au</t>
  </si>
  <si>
    <t>GHO Sydney</t>
  </si>
  <si>
    <t>Eithne McSwiney</t>
  </si>
  <si>
    <t xml:space="preserve">Managing Director </t>
  </si>
  <si>
    <t>eithne.mcswiney@ghosydney.com</t>
  </si>
  <si>
    <t>https://www.ghosydney.com</t>
  </si>
  <si>
    <t>Global Pictures</t>
  </si>
  <si>
    <t>Ben Kumanovski</t>
  </si>
  <si>
    <t>Owner/Director</t>
  </si>
  <si>
    <t>02 9188 0835</t>
  </si>
  <si>
    <t>0413123497</t>
  </si>
  <si>
    <t>ben@globalpictures.com.au</t>
  </si>
  <si>
    <t>https://www.globalpictures.com.au</t>
  </si>
  <si>
    <t>Good Song</t>
  </si>
  <si>
    <t>Shari Davies</t>
  </si>
  <si>
    <t>hello@goodsong.com.au</t>
  </si>
  <si>
    <t>https://goodsong.com.au</t>
  </si>
  <si>
    <t>GoodChat TV</t>
  </si>
  <si>
    <t>Tom Maclachlan</t>
  </si>
  <si>
    <t>0450443884</t>
  </si>
  <si>
    <t>tom@goodchat.tv</t>
  </si>
  <si>
    <t>https://goodchat.tv</t>
  </si>
  <si>
    <t>Greater Leads</t>
  </si>
  <si>
    <t xml:space="preserve">Joel Brown </t>
  </si>
  <si>
    <t>02 8003 3026</t>
  </si>
  <si>
    <t>0414068552</t>
  </si>
  <si>
    <t xml:space="preserve">	joel@greaterleads.com</t>
  </si>
  <si>
    <t>https://www.greaterleads.com</t>
  </si>
  <si>
    <t>Ground Communications</t>
  </si>
  <si>
    <t>Colin Fairley</t>
  </si>
  <si>
    <t>0497865887</t>
  </si>
  <si>
    <t>colin.fairley@groundagency.com</t>
  </si>
  <si>
    <t>https://www.groundagency.com</t>
  </si>
  <si>
    <t>Guts Creative</t>
  </si>
  <si>
    <t>Kara Sullivan</t>
  </si>
  <si>
    <t>0408388523</t>
  </si>
  <si>
    <t>kara@gutscreative.com.au</t>
  </si>
  <si>
    <t>https://www.gutscreative.com.au/</t>
  </si>
  <si>
    <t>Hank Mango</t>
  </si>
  <si>
    <t>David Cochrane</t>
  </si>
  <si>
    <t>Owner / Creative Director</t>
  </si>
  <si>
    <t>02 8958 2117</t>
  </si>
  <si>
    <t>0466386560</t>
  </si>
  <si>
    <t xml:space="preserve">	michael@hankmango.com</t>
  </si>
  <si>
    <t>https://hankmango.com</t>
  </si>
  <si>
    <t>Hard Edge Media Pty Ltd</t>
  </si>
  <si>
    <t>Andrew Hardwick</t>
  </si>
  <si>
    <t>ahardwick@hardedge.com.au</t>
  </si>
  <si>
    <t>https://www.hardedge.com.au/</t>
  </si>
  <si>
    <t>Havas Sports &amp; Entertainment</t>
  </si>
  <si>
    <t>Daniel Johns</t>
  </si>
  <si>
    <t>0400123077</t>
  </si>
  <si>
    <t>dan.johns@havasmedia.com</t>
  </si>
  <si>
    <t>https://www.havasgroup.com.au</t>
  </si>
  <si>
    <t>Heard Agency</t>
  </si>
  <si>
    <t>Darragh Heard</t>
  </si>
  <si>
    <t>02 8279 7861</t>
  </si>
  <si>
    <t>0423416936</t>
  </si>
  <si>
    <t>dheard@heardagency.com</t>
  </si>
  <si>
    <t>https://www.heardagency.com</t>
  </si>
  <si>
    <t xml:space="preserve">Hello Social </t>
  </si>
  <si>
    <t>Sam Kelly</t>
  </si>
  <si>
    <t>02 8889 3930</t>
  </si>
  <si>
    <t>0439 009 532</t>
  </si>
  <si>
    <t>sam@hellosocial.com.au</t>
  </si>
  <si>
    <t xml:space="preserve">	https://www.hellosocial.com.au</t>
  </si>
  <si>
    <t>Hinterlands Consultancy Pty Ltd</t>
  </si>
  <si>
    <t>Chris Blown</t>
  </si>
  <si>
    <t>chrisb@hinterlands.com.au</t>
  </si>
  <si>
    <t>https://hinterlands.com.au</t>
  </si>
  <si>
    <t>Hixon Films</t>
  </si>
  <si>
    <t>Alex Weinress</t>
  </si>
  <si>
    <t>aweinress@hixonfilms.com</t>
  </si>
  <si>
    <t>https://hixonfilms.com</t>
  </si>
  <si>
    <t>Hoop Group</t>
  </si>
  <si>
    <t>Elizabeth Farquharson</t>
  </si>
  <si>
    <t>0416226944</t>
  </si>
  <si>
    <t xml:space="preserve">liz@hoopgroup.com.au </t>
  </si>
  <si>
    <t>https://www.hoopgroup.com.au/</t>
  </si>
  <si>
    <t>Horizon Communication Group</t>
  </si>
  <si>
    <t>Liz McLaughlin</t>
  </si>
  <si>
    <t>02 8572 5600</t>
  </si>
  <si>
    <t>0411816344</t>
  </si>
  <si>
    <t xml:space="preserve">	liz@horizoncg.com.au</t>
  </si>
  <si>
    <t xml:space="preserve">	https://www.horizoncg.com.au</t>
  </si>
  <si>
    <t>Host/Havas</t>
  </si>
  <si>
    <t>Laura Aldington</t>
  </si>
  <si>
    <t>Head of New Business Creative Group</t>
  </si>
  <si>
    <t>0466837873</t>
  </si>
  <si>
    <t>laura.aldington@hosthavas.com</t>
  </si>
  <si>
    <t>https://www.hosthavas.com</t>
  </si>
  <si>
    <t>House of Kitch Communications</t>
  </si>
  <si>
    <t>Samara Kitchener</t>
  </si>
  <si>
    <t>samara@houseofkitch.com.au</t>
  </si>
  <si>
    <t>https://www.houseofkitch.com.au</t>
  </si>
  <si>
    <t>Houston Group Pty Ltd</t>
  </si>
  <si>
    <t xml:space="preserve"> Stuart O'Brien</t>
  </si>
  <si>
    <t>stuart@houstongroup.com.au</t>
  </si>
  <si>
    <t>https://houstongroup.com.au</t>
  </si>
  <si>
    <t>Hoyne Design</t>
  </si>
  <si>
    <t>Jennifer Hume</t>
  </si>
  <si>
    <t>jhume@hoyne.com.au</t>
  </si>
  <si>
    <t>https://www.hoyne.com.au/</t>
  </si>
  <si>
    <t>Humble Productions Pty Ltd</t>
  </si>
  <si>
    <t>Brynn Fulcher</t>
  </si>
  <si>
    <t>Executive Producer / Director</t>
  </si>
  <si>
    <t>02 8668 5720</t>
  </si>
  <si>
    <t>0402197649</t>
  </si>
  <si>
    <t>brynn@humbleproductions.com.au</t>
  </si>
  <si>
    <t>https://www.humbleproductions.com.au</t>
  </si>
  <si>
    <t>Icon Agency</t>
  </si>
  <si>
    <t>Joanne Painter</t>
  </si>
  <si>
    <t>joanne@iconagency.com.au</t>
  </si>
  <si>
    <t>https://iconagency.com.au/</t>
  </si>
  <si>
    <t>Ideaseed</t>
  </si>
  <si>
    <t>Georgie Cousens</t>
  </si>
  <si>
    <t>georgie@ideaseed.com.au</t>
  </si>
  <si>
    <t>https://www.ideaseed.com.au</t>
  </si>
  <si>
    <t>Identity Commuications</t>
  </si>
  <si>
    <t>Thang Ngo</t>
  </si>
  <si>
    <t>02 9994 4279</t>
  </si>
  <si>
    <t>0410338833</t>
  </si>
  <si>
    <t>thang.ngo@identitycomms.com.au</t>
  </si>
  <si>
    <t xml:space="preserve">	https://www.identitycomms.com.au</t>
  </si>
  <si>
    <t>Illidge Creative</t>
  </si>
  <si>
    <t>Bruce Illidge</t>
  </si>
  <si>
    <t>Owner and Creative Director</t>
  </si>
  <si>
    <t>bruce@illidgecreative.com.au</t>
  </si>
  <si>
    <t>https://bruce@illidgecreative.com.au</t>
  </si>
  <si>
    <t>IMAB2B</t>
  </si>
  <si>
    <t>Laura Tesluk</t>
  </si>
  <si>
    <t>02 4627 8011</t>
  </si>
  <si>
    <t>0424199720</t>
  </si>
  <si>
    <t>laura@imab2b.com</t>
  </si>
  <si>
    <t>https://www.imab2b.com</t>
  </si>
  <si>
    <t>Imagination</t>
  </si>
  <si>
    <t>Kate Daly</t>
  </si>
  <si>
    <t>0404435279</t>
  </si>
  <si>
    <t>kate.daly@imagination.com</t>
  </si>
  <si>
    <t>https://imagination.com</t>
  </si>
  <si>
    <t>Immediate Communications Pty Ltd</t>
  </si>
  <si>
    <t>Chris Urquhart</t>
  </si>
  <si>
    <t>chris@immediate.net.au</t>
  </si>
  <si>
    <t>https://www.immediate.net.au</t>
  </si>
  <si>
    <t>Impress Design</t>
  </si>
  <si>
    <t>Craig Howard</t>
  </si>
  <si>
    <t>craig@impressdesign.com.au</t>
  </si>
  <si>
    <t>https://impressdesign.com.au</t>
  </si>
  <si>
    <t>Inception Strategies</t>
  </si>
  <si>
    <t>Damian Amamoo</t>
  </si>
  <si>
    <t>0412039636</t>
  </si>
  <si>
    <t>damian@inception.clinic</t>
  </si>
  <si>
    <t>https://www.inception.clinic/</t>
  </si>
  <si>
    <t>Infinity Squared</t>
  </si>
  <si>
    <t>Tom Phillips</t>
  </si>
  <si>
    <t>02 9138 6230</t>
  </si>
  <si>
    <t>0414147662</t>
  </si>
  <si>
    <t>tom@connectingplots.com</t>
  </si>
  <si>
    <t>https://www.infinity2.com.au</t>
  </si>
  <si>
    <t>Insider Guides</t>
  </si>
  <si>
    <t xml:space="preserve">	55144845465</t>
  </si>
  <si>
    <t>James Martin</t>
  </si>
  <si>
    <t>SA</t>
  </si>
  <si>
    <t>0403680876</t>
  </si>
  <si>
    <t xml:space="preserve">	james@insiderguides.com.au</t>
  </si>
  <si>
    <t xml:space="preserve">	https://insiderguides.com.au</t>
  </si>
  <si>
    <t>Integral Design</t>
  </si>
  <si>
    <t>Alastair Moir</t>
  </si>
  <si>
    <t>intdes@aussiebb.com.au</t>
  </si>
  <si>
    <t>https://www.integraldesign.com.au</t>
  </si>
  <si>
    <t xml:space="preserve">INVNT </t>
  </si>
  <si>
    <t>Laura Roberts</t>
  </si>
  <si>
    <t>lroberts@invnt.com</t>
  </si>
  <si>
    <t>https://www.invntgroup.com</t>
  </si>
  <si>
    <t xml:space="preserve">Itchy Feet Digital </t>
  </si>
  <si>
    <t>Amy Bingham</t>
  </si>
  <si>
    <t>0404838383</t>
  </si>
  <si>
    <t>amy@itchyfeetdigital.com</t>
  </si>
  <si>
    <t xml:space="preserve">	https://www.itchyfeetdigital.com/</t>
  </si>
  <si>
    <t>IVE Group Australia Pty Ltd</t>
  </si>
  <si>
    <t>Chad Brown</t>
  </si>
  <si>
    <t>Head of Integrated Marketing, NSW</t>
  </si>
  <si>
    <t>02 8064 5401</t>
  </si>
  <si>
    <t>0438076347</t>
  </si>
  <si>
    <t>chad.brown@ivegroup.com.au</t>
  </si>
  <si>
    <t>https://www.ivegroup.com.au</t>
  </si>
  <si>
    <t>JimJam Ideas</t>
  </si>
  <si>
    <t>Charlie Cook</t>
  </si>
  <si>
    <t>Executive Creative Director</t>
  </si>
  <si>
    <t>charlie@jimjamideas.com</t>
  </si>
  <si>
    <t>https://jimjamideas.com</t>
  </si>
  <si>
    <t>JMR Creative Design Pty Ltd</t>
  </si>
  <si>
    <t>Peter May</t>
  </si>
  <si>
    <t>design@jmr.com.au</t>
  </si>
  <si>
    <t>https://www.jmr.com.au</t>
  </si>
  <si>
    <t>Josh Farr Consulting Pty Ltd</t>
  </si>
  <si>
    <t>Josh Farr</t>
  </si>
  <si>
    <t>0410011768</t>
  </si>
  <si>
    <t xml:space="preserve">	josh@campusconsultancy.org</t>
  </si>
  <si>
    <t xml:space="preserve">	https://www.campusconsultancy.org</t>
  </si>
  <si>
    <t>Juntos Marketing</t>
  </si>
  <si>
    <t>Carolyn Loton</t>
  </si>
  <si>
    <t>carolyn@juntosmarketing.com.au</t>
  </si>
  <si>
    <t>https://www.juntosmarketing.com.au</t>
  </si>
  <si>
    <t>JVNG</t>
  </si>
  <si>
    <t>John Vlasakakis</t>
  </si>
  <si>
    <t>john@nextandco.com.au</t>
  </si>
  <si>
    <t>https://www.nextandco.com.au</t>
  </si>
  <si>
    <t>Kathy Jones &amp; Associates</t>
  </si>
  <si>
    <t>Angus Belling</t>
  </si>
  <si>
    <t>Project Director</t>
  </si>
  <si>
    <t>angus.belling@kjassoc.com.au</t>
  </si>
  <si>
    <t>https://www.kjassoc.com.au</t>
  </si>
  <si>
    <t>Kazbar Creative</t>
  </si>
  <si>
    <t>Bernadette Barrett</t>
  </si>
  <si>
    <t>bernadette.barrett@khpl.com.au</t>
  </si>
  <si>
    <t>https://www.kazbarcreative.com.au</t>
  </si>
  <si>
    <t>Keyy Productions</t>
  </si>
  <si>
    <t>Paige Gardiner</t>
  </si>
  <si>
    <t>paige@keyyproductions.com</t>
  </si>
  <si>
    <t>https://www.keyyproductions.com.au</t>
  </si>
  <si>
    <t>KGM Design</t>
  </si>
  <si>
    <t>Ben Loftus</t>
  </si>
  <si>
    <t>0410636855</t>
  </si>
  <si>
    <t>ben@kgmdesign.com.au</t>
  </si>
  <si>
    <t>https://kgmdesign.com.au</t>
  </si>
  <si>
    <t>King Creatives</t>
  </si>
  <si>
    <t>Richard King</t>
  </si>
  <si>
    <t>richard@kingcreatives.com.au</t>
  </si>
  <si>
    <t>https://www.kingvideoproduction.com.au</t>
  </si>
  <si>
    <t>KINSHIP digital Pty Ltd</t>
  </si>
  <si>
    <t>Alex Harper</t>
  </si>
  <si>
    <t>General Manager, Canberra</t>
  </si>
  <si>
    <t>1300 546 744</t>
  </si>
  <si>
    <t>0433948624</t>
  </si>
  <si>
    <t>alex@kinshipdigital.com</t>
  </si>
  <si>
    <t>https://www.kinshipdigital.com/</t>
  </si>
  <si>
    <t>L+L Design</t>
  </si>
  <si>
    <t>Lisa Kellar</t>
  </si>
  <si>
    <t>02 9908 4188</t>
  </si>
  <si>
    <t>0414476854</t>
  </si>
  <si>
    <t>lisak@l-ldesign.com.au</t>
  </si>
  <si>
    <t>https://www.l-ldesign.com.au</t>
  </si>
  <si>
    <t>Laundry Lane Productions</t>
  </si>
  <si>
    <t>Alexandra Cordukes</t>
  </si>
  <si>
    <t>alexandra@laundrylane.com</t>
  </si>
  <si>
    <t>https://www.laundrylane.com</t>
  </si>
  <si>
    <t>Leo Burnett Australia</t>
  </si>
  <si>
    <t xml:space="preserve">Neil Duncan </t>
  </si>
  <si>
    <t>Operations Director</t>
  </si>
  <si>
    <t>02 9925 3555</t>
  </si>
  <si>
    <t>0478645694</t>
  </si>
  <si>
    <t>neil.duncan@leoburnett.com.au</t>
  </si>
  <si>
    <t>https://www.leoburnett.com.au</t>
  </si>
  <si>
    <t>LEP Digital Pty Ltd</t>
  </si>
  <si>
    <t>Laura Prael</t>
  </si>
  <si>
    <t>laura@lep.digital</t>
  </si>
  <si>
    <t>https://lep.digital/</t>
  </si>
  <si>
    <t>Limelight Creative Media</t>
  </si>
  <si>
    <t>Ian Hamilton</t>
  </si>
  <si>
    <t>ian@limelightcreativemedia.com.au</t>
  </si>
  <si>
    <t>https://www.limelightcreativemedia.com.au</t>
  </si>
  <si>
    <t>Lionize</t>
  </si>
  <si>
    <t>Mikey Taylor</t>
  </si>
  <si>
    <t>0405645612</t>
  </si>
  <si>
    <t>mikeyt@lionize.com.au</t>
  </si>
  <si>
    <t>https://www.lionize.com.au/</t>
  </si>
  <si>
    <t>Loud</t>
  </si>
  <si>
    <t>Lorraine Jokovic</t>
  </si>
  <si>
    <t>lorraine@loud.com.au</t>
  </si>
  <si>
    <t>https://www.loud.com.au</t>
  </si>
  <si>
    <t>M &amp; C Saatchi Agency</t>
  </si>
  <si>
    <t>Lucy Billington</t>
  </si>
  <si>
    <t>Group Marketing Director</t>
  </si>
  <si>
    <t>02 9019 6684</t>
  </si>
  <si>
    <t>0404490849</t>
  </si>
  <si>
    <t>lucy.billington@mcsaatchi.com.au</t>
  </si>
  <si>
    <t>https://www.mcsaatchi.com.au</t>
  </si>
  <si>
    <t xml:space="preserve">Magpie Creative </t>
  </si>
  <si>
    <t>Joe Hughes</t>
  </si>
  <si>
    <t>Director &amp; Producer</t>
  </si>
  <si>
    <t>0421757347</t>
  </si>
  <si>
    <t>joe@magpiecreative.com.au</t>
  </si>
  <si>
    <t xml:space="preserve">	https://www.magpiecreative.com.au</t>
  </si>
  <si>
    <t>Marshlandia</t>
  </si>
  <si>
    <t>Andrew Marsh</t>
  </si>
  <si>
    <t>Executive Producer-Director</t>
  </si>
  <si>
    <t xml:space="preserve">	0432240625</t>
  </si>
  <si>
    <t>andrew@marshlandia.co</t>
  </si>
  <si>
    <t>https://marshlandia.co/</t>
  </si>
  <si>
    <t>Marzipan Media</t>
  </si>
  <si>
    <t xml:space="preserve">	61181193114</t>
  </si>
  <si>
    <t>Ben Adams</t>
  </si>
  <si>
    <t>Digital Director</t>
  </si>
  <si>
    <t xml:space="preserve">0406063861 </t>
  </si>
  <si>
    <t xml:space="preserve">	ben@marzipanmedia.com.au</t>
  </si>
  <si>
    <t>https://marzipanmedia.com.au</t>
  </si>
  <si>
    <t>Maverick Marketing and Communications</t>
  </si>
  <si>
    <t>Cameron Marks</t>
  </si>
  <si>
    <t>cmarks@maverick.com.au</t>
  </si>
  <si>
    <t>https://maverick.com.au</t>
  </si>
  <si>
    <t>MAX Agency</t>
  </si>
  <si>
    <t>Joe O'Sullivan</t>
  </si>
  <si>
    <t>0413509130</t>
  </si>
  <si>
    <t>joe@maxagency.com.au</t>
  </si>
  <si>
    <t xml:space="preserve">	https://maxagency.com.au</t>
  </si>
  <si>
    <t>McCann Australia</t>
  </si>
  <si>
    <t>Simon Gawn</t>
  </si>
  <si>
    <t>simon.gawn@mccann.com.au</t>
  </si>
  <si>
    <t>https://www.mccann.com.au</t>
  </si>
  <si>
    <t>Mela Creative</t>
  </si>
  <si>
    <t>Rosanna Mazzucco</t>
  </si>
  <si>
    <t>02 9557 6699</t>
  </si>
  <si>
    <t>0417217177</t>
  </si>
  <si>
    <t xml:space="preserve">	rosanna@melacreative.com.au</t>
  </si>
  <si>
    <t xml:space="preserve">	https://melacreative.com.au</t>
  </si>
  <si>
    <t>Melhuish</t>
  </si>
  <si>
    <t>Julian Melhuish</t>
  </si>
  <si>
    <t>CEO and Founder</t>
  </si>
  <si>
    <t>0407411697</t>
  </si>
  <si>
    <t>julian@melhuishco.com</t>
  </si>
  <si>
    <t>https://www.melhuishco.com</t>
  </si>
  <si>
    <t>Messy Collective</t>
  </si>
  <si>
    <t>Jason Yagan</t>
  </si>
  <si>
    <t>design@messy.com.au</t>
  </si>
  <si>
    <t>https://messy.com.au</t>
  </si>
  <si>
    <t>Metro Graphics Group</t>
  </si>
  <si>
    <t>John Eleftheriou</t>
  </si>
  <si>
    <t>02 9565 5501</t>
  </si>
  <si>
    <t xml:space="preserve">	0416161602</t>
  </si>
  <si>
    <t>john@metrographics.com.au</t>
  </si>
  <si>
    <t>https://www.metrographics.com.au</t>
  </si>
  <si>
    <t>Milkmoney Pty Ltd</t>
  </si>
  <si>
    <t>Carrie Williams</t>
  </si>
  <si>
    <t>Head of Production</t>
  </si>
  <si>
    <t>carrie.williams@milkmoney.tv</t>
  </si>
  <si>
    <t>https://www.milkmoney.tv/</t>
  </si>
  <si>
    <t>Mint Films</t>
  </si>
  <si>
    <t>Nicholas Mutton</t>
  </si>
  <si>
    <t>Producer</t>
  </si>
  <si>
    <t>nick@mintfilms.com.au</t>
  </si>
  <si>
    <t>https://www.mintfilms.com.au</t>
  </si>
  <si>
    <t>Momentum²</t>
  </si>
  <si>
    <t>Lyn Tuit</t>
  </si>
  <si>
    <t>Principal</t>
  </si>
  <si>
    <t>ltuit@momentum2.com.au</t>
  </si>
  <si>
    <t>https://www.momentum2.com.au</t>
  </si>
  <si>
    <t>Moved by Design</t>
  </si>
  <si>
    <t>Jason Knight</t>
  </si>
  <si>
    <t>Founder/Owner</t>
  </si>
  <si>
    <t>0415889486</t>
  </si>
  <si>
    <t>0466906679</t>
  </si>
  <si>
    <t>jason@movedbydesign.com.au</t>
  </si>
  <si>
    <t xml:space="preserve">	https://movedbydesign.com.au/</t>
  </si>
  <si>
    <t>Multicultural Marketing &amp; Management</t>
  </si>
  <si>
    <t>Jessie Wong</t>
  </si>
  <si>
    <t>jessie@multiculture.com.au</t>
  </si>
  <si>
    <t>https://www.multiculture.com.au</t>
  </si>
  <si>
    <t>New Moon Australia</t>
  </si>
  <si>
    <t>Ema Wakeford</t>
  </si>
  <si>
    <t>02 8029 2120</t>
  </si>
  <si>
    <t>0414701031</t>
  </si>
  <si>
    <t>ema@new-moon.com</t>
  </si>
  <si>
    <t>https://new-moon.com/</t>
  </si>
  <si>
    <t>Newcast Pty Ltd</t>
  </si>
  <si>
    <t>Damien Maher</t>
  </si>
  <si>
    <t>02 6171 4144</t>
  </si>
  <si>
    <t>0429839991</t>
  </si>
  <si>
    <t>damien@newcast.com.au</t>
  </si>
  <si>
    <t>https://www.newcast.com.au/</t>
  </si>
  <si>
    <t>Niche Group Services</t>
  </si>
  <si>
    <t xml:space="preserve">David Morgan </t>
  </si>
  <si>
    <t>02 8585 4323</t>
  </si>
  <si>
    <t>0417683061</t>
  </si>
  <si>
    <t xml:space="preserve">	davidmorgan@nichegroup.com.au</t>
  </si>
  <si>
    <t xml:space="preserve">	https://info@nichegroup.com.au</t>
  </si>
  <si>
    <t>Nightjar</t>
  </si>
  <si>
    <t>Christine Sultana</t>
  </si>
  <si>
    <t>christine@nightjar.co</t>
  </si>
  <si>
    <t>https://www.nightjar.co</t>
  </si>
  <si>
    <t>Noble Agency</t>
  </si>
  <si>
    <t>Ben Da Costa</t>
  </si>
  <si>
    <t>Founder &amp; Creative Director</t>
  </si>
  <si>
    <t>0412675329</t>
  </si>
  <si>
    <t>ben@nobleagency.com.au</t>
  </si>
  <si>
    <t>https://nobleagency.com.au/</t>
  </si>
  <si>
    <t>Noble Brands Worldwide Pty Ltd</t>
  </si>
  <si>
    <t>Monty Noble</t>
  </si>
  <si>
    <t>monty@noblebrandsworldwide.com</t>
  </si>
  <si>
    <t>https://www.noblebrandsworldwide.com</t>
  </si>
  <si>
    <t>Now Screen Pty Ltd</t>
  </si>
  <si>
    <t>Mark Silcocks</t>
  </si>
  <si>
    <t>mark@nowscreen.com</t>
  </si>
  <si>
    <t>https://www.nowscreen.com</t>
  </si>
  <si>
    <t>Numeral Creative</t>
  </si>
  <si>
    <t xml:space="preserve">	14638177876</t>
  </si>
  <si>
    <t>Colin Elphick</t>
  </si>
  <si>
    <t>0406 719 407</t>
  </si>
  <si>
    <t xml:space="preserve">	colin@numeralcreative.com</t>
  </si>
  <si>
    <t>https://numeralcreative.com</t>
  </si>
  <si>
    <t xml:space="preserve">Ogilvy Sydney </t>
  </si>
  <si>
    <t>Olivia Chamberlain</t>
  </si>
  <si>
    <t>Marketing &amp; Business Operations Director</t>
  </si>
  <si>
    <t>02 9373 6333</t>
  </si>
  <si>
    <t xml:space="preserve">	0403502226</t>
  </si>
  <si>
    <t>olivia.chamberlain@ogilvy.com.au</t>
  </si>
  <si>
    <t>https://www.ogilvy.com.au</t>
  </si>
  <si>
    <t>Original Spin</t>
  </si>
  <si>
    <t>Matt Fraser</t>
  </si>
  <si>
    <t>Director of Communications</t>
  </si>
  <si>
    <t>02 8065 7363</t>
  </si>
  <si>
    <t>0401326007</t>
  </si>
  <si>
    <t>matt@originalspin.com.au</t>
  </si>
  <si>
    <t>https://www.originalspin.com.au</t>
  </si>
  <si>
    <t xml:space="preserve">Paper Monkey </t>
  </si>
  <si>
    <t>Ben Lopez</t>
  </si>
  <si>
    <t>ben@papermonkey.com.au</t>
  </si>
  <si>
    <t>https://papermonkey.com.au</t>
  </si>
  <si>
    <t>Paper Moose</t>
  </si>
  <si>
    <t>Nick Hunter</t>
  </si>
  <si>
    <t>CEO &amp; Executive Creative Director</t>
  </si>
  <si>
    <t>nick@papermoose.com</t>
  </si>
  <si>
    <t>https://papermoose.com</t>
  </si>
  <si>
    <t>Passionberry Marketing</t>
  </si>
  <si>
    <t>Geoff Main</t>
  </si>
  <si>
    <t>geoff@passionberrymarketing.com</t>
  </si>
  <si>
    <t>https://www.passionberrymarketing.com</t>
  </si>
  <si>
    <t>Pearshop</t>
  </si>
  <si>
    <t>Nathan Yiangou</t>
  </si>
  <si>
    <t>nathan@pearshop.com.au</t>
  </si>
  <si>
    <t>https://www.pearshop.com.au</t>
  </si>
  <si>
    <t>Percept</t>
  </si>
  <si>
    <t>Lewis Jenkins</t>
  </si>
  <si>
    <t>lewis@percept.com.au</t>
  </si>
  <si>
    <t>https://percept.com.au</t>
  </si>
  <si>
    <t>Point Project Management</t>
  </si>
  <si>
    <t>Laura Stewart</t>
  </si>
  <si>
    <t>ICCtenders@rpsgroup.com.au</t>
  </si>
  <si>
    <t>https://www.rpsgroup.com</t>
  </si>
  <si>
    <t xml:space="preserve">Pollen Digital </t>
  </si>
  <si>
    <t>Brett Mitchell</t>
  </si>
  <si>
    <t>02 8394 9571</t>
  </si>
  <si>
    <t>0408442481</t>
  </si>
  <si>
    <t xml:space="preserve">	tenders@pollen.com.au</t>
  </si>
  <si>
    <t>https://pollen.com.au/</t>
  </si>
  <si>
    <t>Populares Agency</t>
  </si>
  <si>
    <t>Mark Connelly</t>
  </si>
  <si>
    <t>0478765859</t>
  </si>
  <si>
    <t>mark@populares.co</t>
  </si>
  <si>
    <t>https://www.populares.co</t>
  </si>
  <si>
    <t>Porter Novelli Australia Pty Ltd</t>
  </si>
  <si>
    <t>Peter Kent</t>
  </si>
  <si>
    <t>pkent@porternovelli.com.au</t>
  </si>
  <si>
    <t>https://www.porternovelli.com.au</t>
  </si>
  <si>
    <t>Primary Communication</t>
  </si>
  <si>
    <t>Christopher Hall</t>
  </si>
  <si>
    <t>Chief Executive Officer</t>
  </si>
  <si>
    <t>02 9212 3888</t>
  </si>
  <si>
    <t>0419607909</t>
  </si>
  <si>
    <t>chris@primarycommsgroup.com.au</t>
  </si>
  <si>
    <t>https://www.primarycommsgroup.com.au</t>
  </si>
  <si>
    <t>Principals Pty Ltd</t>
  </si>
  <si>
    <t>Tom Brigstocke</t>
  </si>
  <si>
    <t>Group CEO</t>
  </si>
  <si>
    <t>tom@principals.com.au</t>
  </si>
  <si>
    <t>https://www.principals.com.au/</t>
  </si>
  <si>
    <t>Proactive Graphics</t>
  </si>
  <si>
    <t>Grant Sherman</t>
  </si>
  <si>
    <t>02 9211 0775</t>
  </si>
  <si>
    <t>0417265648</t>
  </si>
  <si>
    <t>grant@proactivegraphics.com.au</t>
  </si>
  <si>
    <t>https://proactivegraphics.com.au</t>
  </si>
  <si>
    <t>Proof Communications</t>
  </si>
  <si>
    <t>Rosemary Gillespie</t>
  </si>
  <si>
    <t>02 8036 5532</t>
  </si>
  <si>
    <t>0411123216</t>
  </si>
  <si>
    <t xml:space="preserve">	rosemary@proofcommunications.com.au</t>
  </si>
  <si>
    <t>https://www.proofcommunications.com.au</t>
  </si>
  <si>
    <t xml:space="preserve">Propel Group </t>
  </si>
  <si>
    <t>Roger Christie</t>
  </si>
  <si>
    <t>rchristie@propelgroup.com.au</t>
  </si>
  <si>
    <t>https://www.propelgroup.com.au</t>
  </si>
  <si>
    <t>Punchy Digital Media</t>
  </si>
  <si>
    <t>Anthony Lam</t>
  </si>
  <si>
    <t>anthony@punchydigitalmedia.com.au</t>
  </si>
  <si>
    <t>https://www.punchydigitalmedia.com.au</t>
  </si>
  <si>
    <t>Qualie</t>
  </si>
  <si>
    <t>Ainslie Williams</t>
  </si>
  <si>
    <t>CEO &amp; Co-Founder</t>
  </si>
  <si>
    <t>0419 603 624</t>
  </si>
  <si>
    <t>ainslie.williams@qualie.com</t>
  </si>
  <si>
    <t>https://www.qualie.com</t>
  </si>
  <si>
    <t>Radical Orange</t>
  </si>
  <si>
    <t>David den Engelsman</t>
  </si>
  <si>
    <t>david@radicalorange.tv</t>
  </si>
  <si>
    <t>https://www.radicalorange.tv</t>
  </si>
  <si>
    <t>Ravel Studios</t>
  </si>
  <si>
    <t>Pete Crossley</t>
  </si>
  <si>
    <t>0416289078</t>
  </si>
  <si>
    <t>pete@ravel.com.au</t>
  </si>
  <si>
    <t>https://www.ravel.com.au</t>
  </si>
  <si>
    <t>REBORN</t>
  </si>
  <si>
    <t>David Easton</t>
  </si>
  <si>
    <t>0408227816</t>
  </si>
  <si>
    <t>david.easton@reborn.co</t>
  </si>
  <si>
    <t>https://www.reborn.co/</t>
  </si>
  <si>
    <t>Red Door Prodution Pty Ltd</t>
  </si>
  <si>
    <t>Natalie Loveridge</t>
  </si>
  <si>
    <t>natalie@reddoorproduction.com.au</t>
  </si>
  <si>
    <t>https://www.reddoorproduction.com.au</t>
  </si>
  <si>
    <t xml:space="preserve">Reef Agency </t>
  </si>
  <si>
    <t>Hadrien Brassens</t>
  </si>
  <si>
    <t>02 9412 1817</t>
  </si>
  <si>
    <t>0450521587</t>
  </si>
  <si>
    <t>hadrien@reefdigital.com.au</t>
  </si>
  <si>
    <t xml:space="preserve">	https://reefdigital.com.au</t>
  </si>
  <si>
    <t xml:space="preserve">Reel Story Company </t>
  </si>
  <si>
    <t>Zannie Abbott</t>
  </si>
  <si>
    <t>zannie.abbott@bigpond.com</t>
  </si>
  <si>
    <t>https://www.reelstory.co</t>
  </si>
  <si>
    <t>Resolve Strategic</t>
  </si>
  <si>
    <t>James Reed</t>
  </si>
  <si>
    <t>Founder</t>
  </si>
  <si>
    <t>jim.reed@resolvestrategic.com</t>
  </si>
  <si>
    <t>https://www.resolvestrategic.com/</t>
  </si>
  <si>
    <t>Rocket Digital Agency</t>
  </si>
  <si>
    <t>Alison Lester</t>
  </si>
  <si>
    <t>alester@rocketagency.com.au</t>
  </si>
  <si>
    <t>https://rocketagency.com.au</t>
  </si>
  <si>
    <t>Rowland Pty Ltd</t>
  </si>
  <si>
    <t>Jo Osborne</t>
  </si>
  <si>
    <t>07 3229 4499</t>
  </si>
  <si>
    <t xml:space="preserve">	0407739934</t>
  </si>
  <si>
    <t>tenders@rowland.com.au</t>
  </si>
  <si>
    <t>https://rowland.com.au</t>
  </si>
  <si>
    <t xml:space="preserve">Saatchi &amp; Saatchi </t>
  </si>
  <si>
    <t>Toby Aldred</t>
  </si>
  <si>
    <t>0401210509</t>
  </si>
  <si>
    <t>claire.thompson@saatchi.com.au</t>
  </si>
  <si>
    <t>https://saatchi.com.au</t>
  </si>
  <si>
    <t>Six Black Pens</t>
  </si>
  <si>
    <t>Helen Hollins</t>
  </si>
  <si>
    <t>helen@sixblackpens.com</t>
  </si>
  <si>
    <t>https://sixblackpens.com/</t>
  </si>
  <si>
    <t>Soekov Media Pty Ltd</t>
  </si>
  <si>
    <t>Daniel Soekov</t>
  </si>
  <si>
    <t>dsoekov@gmail.com</t>
  </si>
  <si>
    <t>https://danielsoekov.com</t>
  </si>
  <si>
    <t xml:space="preserve">Someone In Sydney </t>
  </si>
  <si>
    <t>Rebecca Bosustow</t>
  </si>
  <si>
    <t>0449183350</t>
  </si>
  <si>
    <t>rebecca@someoneinsydney.com</t>
  </si>
  <si>
    <t xml:space="preserve">	https://someoneinsydney.com/</t>
  </si>
  <si>
    <t xml:space="preserve">Sparro Digital </t>
  </si>
  <si>
    <t>Cameron Bryant</t>
  </si>
  <si>
    <t>02 9212 7040</t>
  </si>
  <si>
    <t>0423257385</t>
  </si>
  <si>
    <t>cb@sparro.com.au</t>
  </si>
  <si>
    <t>https://sparro.com.au/</t>
  </si>
  <si>
    <t>Spatial Media</t>
  </si>
  <si>
    <t>Dan Cain</t>
  </si>
  <si>
    <t>Head of Client Engagement</t>
  </si>
  <si>
    <t>dan@spatialmedia.com.au</t>
  </si>
  <si>
    <t>https://spatialmedia.com.au</t>
  </si>
  <si>
    <t>SPECIAL BROADCASTING SERVICE CORPORATION</t>
  </si>
  <si>
    <t>Michael Smith</t>
  </si>
  <si>
    <t>National Manager SBS In Language</t>
  </si>
  <si>
    <t>0408366313</t>
  </si>
  <si>
    <t>michael.smith@sbs.com.au</t>
  </si>
  <si>
    <t>STEM Matters</t>
  </si>
  <si>
    <t>Kylie Ahern</t>
  </si>
  <si>
    <t xml:space="preserve">	0416196942</t>
  </si>
  <si>
    <t xml:space="preserve">	kylie.ahern@stemmatters.com.au</t>
  </si>
  <si>
    <t xml:space="preserve">	https://www.stemmatters.global</t>
  </si>
  <si>
    <t>Stillone Media</t>
  </si>
  <si>
    <t>Joel Stillone</t>
  </si>
  <si>
    <t>joel@stillonemedia.com</t>
  </si>
  <si>
    <t>https://www.stillonemedia.com</t>
  </si>
  <si>
    <t>Struber</t>
  </si>
  <si>
    <t>Bobby Rose</t>
  </si>
  <si>
    <t>Associate Director</t>
  </si>
  <si>
    <t>0487908477</t>
  </si>
  <si>
    <t>connect@struber.com.au</t>
  </si>
  <si>
    <t>https://struber.com.au/</t>
  </si>
  <si>
    <t>Suddenly Content Agency</t>
  </si>
  <si>
    <t>Andrew Sidwell</t>
  </si>
  <si>
    <t>andrew@suddenly.com.au</t>
  </si>
  <si>
    <t>https://www.suddenly.com.au/</t>
  </si>
  <si>
    <t>Summer Hill Media</t>
  </si>
  <si>
    <t>Joe Wickert</t>
  </si>
  <si>
    <t>02 9590 34167</t>
  </si>
  <si>
    <t>0417686213</t>
  </si>
  <si>
    <t>joe@summerhill.com.au</t>
  </si>
  <si>
    <t xml:space="preserve">https://www.summerhill.com.au </t>
  </si>
  <si>
    <t>Sweetman &amp; Co</t>
  </si>
  <si>
    <t>Nives Sweetman</t>
  </si>
  <si>
    <t>nives@productionexpress.com.au</t>
  </si>
  <si>
    <t>https://sweetmanand.co</t>
  </si>
  <si>
    <t>Swingtime Creative Pty Ltd</t>
  </si>
  <si>
    <t>Kate Hansen</t>
  </si>
  <si>
    <t>Co-founder &amp; Managing Creative Director</t>
  </si>
  <si>
    <t>kate@swingtime.com.au</t>
  </si>
  <si>
    <t>https://www.swingtime.com.au</t>
  </si>
  <si>
    <t>Tactical Directions</t>
  </si>
  <si>
    <t>Samantha Foley</t>
  </si>
  <si>
    <t>Sam@tdirections.com.au</t>
  </si>
  <si>
    <t>https://www.tdirections.com.au/</t>
  </si>
  <si>
    <t>Taste Creative</t>
  </si>
  <si>
    <t>Henry Smith</t>
  </si>
  <si>
    <t xml:space="preserve">	0466442398</t>
  </si>
  <si>
    <t>0431 377 550</t>
  </si>
  <si>
    <t xml:space="preserve">	henry@tastecreative.com</t>
  </si>
  <si>
    <t xml:space="preserve">	https://www.tastecreative.com/</t>
  </si>
  <si>
    <t>The Brand Pool</t>
  </si>
  <si>
    <t>Lynn Poole</t>
  </si>
  <si>
    <t>02 4962 1630</t>
  </si>
  <si>
    <t>0418491421</t>
  </si>
  <si>
    <t>lynn@thebrandpool.com.au</t>
  </si>
  <si>
    <t>https://www.thebrandpool.com.au</t>
  </si>
  <si>
    <t xml:space="preserve">The Destination Agency </t>
  </si>
  <si>
    <t>Anthony Osborne</t>
  </si>
  <si>
    <t>anthony@destinationagency.com.au</t>
  </si>
  <si>
    <t>https://www.destinationagency.com.au</t>
  </si>
  <si>
    <t>The Dubs</t>
  </si>
  <si>
    <t>Josh Frith</t>
  </si>
  <si>
    <t>Josh.Frith@thedubs.com</t>
  </si>
  <si>
    <t>https://www.thedubs.com</t>
  </si>
  <si>
    <t>The Healthy Brand Company</t>
  </si>
  <si>
    <t>Rachel Bevans</t>
  </si>
  <si>
    <t>Managing Director, Strategy &amp; Planning</t>
  </si>
  <si>
    <t>rachel@thehealthybrandcompany.com</t>
  </si>
  <si>
    <t>https://www.thehealthybrandcompany.com</t>
  </si>
  <si>
    <t>The Idea Shed</t>
  </si>
  <si>
    <t>Richie Strettell</t>
  </si>
  <si>
    <t>rich@theideashed.com</t>
  </si>
  <si>
    <t>https://www.theideashed.com/</t>
  </si>
  <si>
    <t>The Information Access Group</t>
  </si>
  <si>
    <t>Lyndall Thomas</t>
  </si>
  <si>
    <t>tenders@informationaccessgroup.com</t>
  </si>
  <si>
    <t>https://www.informationaccessgroup.com/</t>
  </si>
  <si>
    <t>The LOTE Agency</t>
  </si>
  <si>
    <t>David Bartlett</t>
  </si>
  <si>
    <t>03 9879 6234</t>
  </si>
  <si>
    <t>00417488033</t>
  </si>
  <si>
    <t>dave@loteagency.com.au</t>
  </si>
  <si>
    <t>https://www.loteagency.com.au</t>
  </si>
  <si>
    <t>The Misfits Media Co</t>
  </si>
  <si>
    <t>Chloe Noel De Kerbrech</t>
  </si>
  <si>
    <t>0401061956</t>
  </si>
  <si>
    <t xml:space="preserve">	chloe@themisfits.media</t>
  </si>
  <si>
    <t>https://themisfits.media</t>
  </si>
  <si>
    <t xml:space="preserve">The Nielsen Company </t>
  </si>
  <si>
    <t>Ben Allen</t>
  </si>
  <si>
    <t>Business Solutions Manager</t>
  </si>
  <si>
    <t>ben.x.allen@nielsen.com</t>
  </si>
  <si>
    <t>https://www.nielsen.com/au/en/contact-us/</t>
  </si>
  <si>
    <t>The Works</t>
  </si>
  <si>
    <t>Jordan Dervish</t>
  </si>
  <si>
    <t>Brand Manager</t>
  </si>
  <si>
    <t>0431569386</t>
  </si>
  <si>
    <t>jordan.d@theworksagency.com.au</t>
  </si>
  <si>
    <t>https://www.theworksagency.com.au</t>
  </si>
  <si>
    <t>Thinkerbell</t>
  </si>
  <si>
    <t>Margie Reid</t>
  </si>
  <si>
    <t>03 8353 0590</t>
  </si>
  <si>
    <t>0414643616</t>
  </si>
  <si>
    <t>margiereid@thinkerbell.com</t>
  </si>
  <si>
    <t xml:space="preserve">	https://thinkerbell.com</t>
  </si>
  <si>
    <t>Thinksmart Marketing</t>
  </si>
  <si>
    <t>Janine Pares</t>
  </si>
  <si>
    <t>janine@thinksmartmarketing.com.au</t>
  </si>
  <si>
    <t>https://www.thinksmartmarketing.com.au</t>
  </si>
  <si>
    <t xml:space="preserve">Three Blocks Left Design </t>
  </si>
  <si>
    <t>Kylie Hannaford</t>
  </si>
  <si>
    <t xml:space="preserve">	0481413332</t>
  </si>
  <si>
    <t xml:space="preserve">	0401449935</t>
  </si>
  <si>
    <t xml:space="preserve">	kylie@threeblocksleft.com.au</t>
  </si>
  <si>
    <t xml:space="preserve">	https://www.threeblocksleft.com.au</t>
  </si>
  <si>
    <t>Tiny Hunter</t>
  </si>
  <si>
    <t>Jo Gossage</t>
  </si>
  <si>
    <t>Business Growth Director</t>
  </si>
  <si>
    <t>hello@tinyhunter.com.au</t>
  </si>
  <si>
    <t>https://tinyhunter.com.au/corp-gov-showcase/</t>
  </si>
  <si>
    <t>Tribune Partners</t>
  </si>
  <si>
    <t>John Hurst</t>
  </si>
  <si>
    <t>02 8330 6781</t>
  </si>
  <si>
    <t>jhurst@tribunepartners.com.au</t>
  </si>
  <si>
    <t xml:space="preserve">	https://www.tribunepartners.com.au</t>
  </si>
  <si>
    <t>TV2moro</t>
  </si>
  <si>
    <t>Tony Ishak</t>
  </si>
  <si>
    <t>02 9747 1017</t>
  </si>
  <si>
    <t>0419692138</t>
  </si>
  <si>
    <t xml:space="preserve">	tony@worldmedia.com.au</t>
  </si>
  <si>
    <t xml:space="preserve">	https://www.worldmedia.com.au</t>
  </si>
  <si>
    <t>Two Story Photo &amp; Video</t>
  </si>
  <si>
    <t>Duane Robinson</t>
  </si>
  <si>
    <t>Managing Director &amp; Creative Director</t>
  </si>
  <si>
    <t>dave@twostory.com.au</t>
  </si>
  <si>
    <t>https://www.twostory.com.au</t>
  </si>
  <si>
    <t>Uncapped Creative</t>
  </si>
  <si>
    <t>Rod Campbell</t>
  </si>
  <si>
    <t>rod@uncappedcreative.com.au</t>
  </si>
  <si>
    <t>https://www.uncappedcreative.com.au</t>
  </si>
  <si>
    <t xml:space="preserve">Upside Down Productions </t>
  </si>
  <si>
    <t>Clare Vandine</t>
  </si>
  <si>
    <t>02 9411 4548</t>
  </si>
  <si>
    <t>0411399616</t>
  </si>
  <si>
    <t>clare.v@upsidedown.com.au</t>
  </si>
  <si>
    <t>https://www.upsidedown.com.au</t>
  </si>
  <si>
    <t>Urban Circus</t>
  </si>
  <si>
    <t xml:space="preserve">	78111453653</t>
  </si>
  <si>
    <t xml:space="preserve">Ben Guy </t>
  </si>
  <si>
    <t>0419205274</t>
  </si>
  <si>
    <t xml:space="preserve">	studio@urbancircus.com.au</t>
  </si>
  <si>
    <t xml:space="preserve">	https://urbancircus.com.au/</t>
  </si>
  <si>
    <t>Urbanactive</t>
  </si>
  <si>
    <t>Roland Machaalani</t>
  </si>
  <si>
    <t>roland@urbanactive.com.au</t>
  </si>
  <si>
    <t>https://www.urbanactive.com.au/</t>
  </si>
  <si>
    <t xml:space="preserve">Vandal </t>
  </si>
  <si>
    <t xml:space="preserve">Brenden Johnson </t>
  </si>
  <si>
    <t>brenden@vandal.sydney</t>
  </si>
  <si>
    <t>https://vandal.sydney</t>
  </si>
  <si>
    <t>Vert Prod</t>
  </si>
  <si>
    <t>Tristan Guillemot</t>
  </si>
  <si>
    <t>Production Director</t>
  </si>
  <si>
    <t>0421458001</t>
  </si>
  <si>
    <t xml:space="preserve">	tristan@vertprod.com</t>
  </si>
  <si>
    <t xml:space="preserve">	https://www.vertprod.com/</t>
  </si>
  <si>
    <t>VMLY&amp;R</t>
  </si>
  <si>
    <t>Natalie Frischknecht</t>
  </si>
  <si>
    <t>Business Operations Director</t>
  </si>
  <si>
    <t>0402215785</t>
  </si>
  <si>
    <t>natalie.frischknecht@vmlyr.com</t>
  </si>
  <si>
    <t>https://www.vmlyr.com</t>
  </si>
  <si>
    <t>VRTY</t>
  </si>
  <si>
    <t>Kingston Lee-Young</t>
  </si>
  <si>
    <t>0449192527</t>
  </si>
  <si>
    <t>kingston@vrty.io</t>
  </si>
  <si>
    <t>https://vrty.io</t>
  </si>
  <si>
    <t xml:space="preserve">VYGO </t>
  </si>
  <si>
    <t>Lyndin Smith-Francis</t>
  </si>
  <si>
    <t>Sales Director APAC</t>
  </si>
  <si>
    <t>0435804138</t>
  </si>
  <si>
    <t xml:space="preserve">	lyndin.francis@vygoapp.com</t>
  </si>
  <si>
    <t xml:space="preserve">	https://www.vygoapp.com</t>
  </si>
  <si>
    <t xml:space="preserve">Wallis Social Research </t>
  </si>
  <si>
    <t>Jim Camm</t>
  </si>
  <si>
    <t>Senior Account Director</t>
  </si>
  <si>
    <t>03 9621 1066</t>
  </si>
  <si>
    <t>0401292288</t>
  </si>
  <si>
    <t>tenders@wallisgroup.com.au</t>
  </si>
  <si>
    <t>https://www.wallisgroup.com.au</t>
  </si>
  <si>
    <t>Wax Interactive Pty Ltd</t>
  </si>
  <si>
    <t>Sarah Glaied</t>
  </si>
  <si>
    <t>02 9699 3890</t>
  </si>
  <si>
    <t>0434374200</t>
  </si>
  <si>
    <t>sarah@wax.com.au</t>
  </si>
  <si>
    <t>https://www.wax.com.au</t>
  </si>
  <si>
    <t>We Are Better</t>
  </si>
  <si>
    <t>Haissam Aoun</t>
  </si>
  <si>
    <t>0407891136</t>
  </si>
  <si>
    <t>haissam@wearebetter.com.au</t>
  </si>
  <si>
    <t>https://www.wearebetter.com.au</t>
  </si>
  <si>
    <t>We Are Social Pty Ltd</t>
  </si>
  <si>
    <t>Cristina Forlani</t>
  </si>
  <si>
    <t>Marketing &amp; New Business Manager</t>
  </si>
  <si>
    <t>cristina.forlani@wearesocial.net</t>
  </si>
  <si>
    <t>https://wearesocial.com/au/</t>
  </si>
  <si>
    <t>WE Communications</t>
  </si>
  <si>
    <t>Siobhan Rennie</t>
  </si>
  <si>
    <t>Head of Corporate - Sydney</t>
  </si>
  <si>
    <t>srennie@we-worldwide.com</t>
  </si>
  <si>
    <t>https://www.we-worldwide.com.au/</t>
  </si>
  <si>
    <t>We The People Agency</t>
  </si>
  <si>
    <t>Jacob Arnott</t>
  </si>
  <si>
    <t>0416938368</t>
  </si>
  <si>
    <t>jacob.arnott@wethepeople.com.au</t>
  </si>
  <si>
    <t>https://wethepeople.com.au</t>
  </si>
  <si>
    <t xml:space="preserve">Weave Web Communications </t>
  </si>
  <si>
    <t>Susan Cowan</t>
  </si>
  <si>
    <t>0417200102</t>
  </si>
  <si>
    <t>susan@weaveweb.com.au</t>
  </si>
  <si>
    <t xml:space="preserve">	https://weaveweb.com.au</t>
  </si>
  <si>
    <t>Wedge-Tail Pictures</t>
  </si>
  <si>
    <t>Bill Code</t>
  </si>
  <si>
    <t>Owner and Founder</t>
  </si>
  <si>
    <t>0420652289</t>
  </si>
  <si>
    <t>hello@wedgetailpictures.com</t>
  </si>
  <si>
    <t>https://www.wedgetailpictures.com</t>
  </si>
  <si>
    <t>Wells Haslem Mayhew Strategic Public Affairs Pty Ltd</t>
  </si>
  <si>
    <t>Benjamin Haslem</t>
  </si>
  <si>
    <t>Managing and Founding Partner</t>
  </si>
  <si>
    <t>bhaslem@whmspa.com.au</t>
  </si>
  <si>
    <t>https://whmspa.com.au</t>
  </si>
  <si>
    <t>Why Documentaries</t>
  </si>
  <si>
    <t>Sandra Pires</t>
  </si>
  <si>
    <t>sandra@whydocumentaries.com.au</t>
  </si>
  <si>
    <t>https://whydocumentaries.com.au</t>
  </si>
  <si>
    <t xml:space="preserve">Wildbear Digital </t>
  </si>
  <si>
    <t>Jeremy Flynn</t>
  </si>
  <si>
    <t>Commercial Manager</t>
  </si>
  <si>
    <t>jeremy.flynn@wildbear.tv</t>
  </si>
  <si>
    <t>https://www.wildbeardigital.com.au</t>
  </si>
  <si>
    <t>William Thomas Turner</t>
  </si>
  <si>
    <t>William Turner</t>
  </si>
  <si>
    <t>Editor</t>
  </si>
  <si>
    <t>0407909976</t>
  </si>
  <si>
    <t>0437699588</t>
  </si>
  <si>
    <t xml:space="preserve">	billt2081@gmail.com</t>
  </si>
  <si>
    <t>N/A</t>
  </si>
  <si>
    <t>Wonder Communications</t>
  </si>
  <si>
    <t>Adrian Popek</t>
  </si>
  <si>
    <t>apopek@wewonder.com.au</t>
  </si>
  <si>
    <t>https://www.wewonder.com.au</t>
  </si>
  <si>
    <t>Wunderman Thompson</t>
  </si>
  <si>
    <t>Edelle Gettings</t>
  </si>
  <si>
    <t>PR &amp; Communications Manager</t>
  </si>
  <si>
    <t>edelle.gettings@wundermanthompson.com</t>
  </si>
  <si>
    <t>https://www.wundermanthompson.com/australia</t>
  </si>
  <si>
    <t>Yakkazoo (Formerly Loulaki Blue)</t>
  </si>
  <si>
    <t>Oliver James</t>
  </si>
  <si>
    <t>0400037218</t>
  </si>
  <si>
    <t>oliver.james@yakkazoo.com</t>
  </si>
  <si>
    <t>https://www.yakkazoo.com</t>
  </si>
  <si>
    <t xml:space="preserve">Yango Media </t>
  </si>
  <si>
    <t>Luke Povee</t>
  </si>
  <si>
    <t>luke@yango.com.au</t>
  </si>
  <si>
    <t>https://yango.com.au</t>
  </si>
  <si>
    <t>ZSPACE</t>
  </si>
  <si>
    <t>Angela Kargilis</t>
  </si>
  <si>
    <t>angela@zspace.com.au</t>
  </si>
  <si>
    <t>https://www.zspace.com.au</t>
  </si>
  <si>
    <t>Rachel Beaney</t>
  </si>
  <si>
    <t>0401839977</t>
  </si>
  <si>
    <t>rach@rachelbeaney.com</t>
  </si>
  <si>
    <t>https://rachelbeaney.com</t>
  </si>
  <si>
    <t>CBTEE Group</t>
  </si>
  <si>
    <t>Craig Barnes</t>
  </si>
  <si>
    <t>0419273231</t>
  </si>
  <si>
    <t xml:space="preserve">	craig@cbteegroup.com.au</t>
  </si>
  <si>
    <t>https://www.cbteegroup.com.au</t>
  </si>
  <si>
    <t>Barbara Campany and Associates Pty Ltd</t>
  </si>
  <si>
    <t>Barbara Campany</t>
  </si>
  <si>
    <t>Principal Partner</t>
  </si>
  <si>
    <t>0498500222</t>
  </si>
  <si>
    <t xml:space="preserve">	barbara@campanyandco.com.au</t>
  </si>
  <si>
    <t>https://www.campanyandco.com.au</t>
  </si>
  <si>
    <t>Updated 4th April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</si>
</sst>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E9FF7"/>
        <bgColor indexed="64"/>
      </patternFill>
    </fill>
    <fill>
      <patternFill patternType="solid">
        <fgColor rgb="FFF8B6E7"/>
        <bgColor indexed="64"/>
      </patternFill>
    </fill>
    <fill>
      <patternFill patternType="solid">
        <fgColor rgb="FFDEEE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horizontal="center" vertical="center" wrapText="1"/>
    </xf>
    <xf numFmtId="0" fontId="1" fillId="10" borderId="11" xfId="0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14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4" xfId="0" applyFill="1" applyBorder="1" applyAlignment="1">
      <alignment horizontal="center" vertical="center" wrapText="1"/>
    </xf>
    <xf numFmtId="0" fontId="0" fillId="8" borderId="13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8" borderId="14" xfId="0" applyFill="1" applyBorder="1" applyAlignment="1">
      <alignment horizontal="center" vertical="center" wrapText="1"/>
    </xf>
    <xf numFmtId="0" fontId="0" fillId="9" borderId="13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9" borderId="14" xfId="0" applyFill="1" applyBorder="1" applyAlignment="1">
      <alignment horizontal="center" vertical="center" wrapText="1"/>
    </xf>
    <xf numFmtId="0" fontId="0" fillId="10" borderId="13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10" borderId="14" xfId="0" applyFill="1" applyBorder="1" applyAlignment="1">
      <alignment horizontal="center" vertical="center" wrapText="1"/>
    </xf>
    <xf numFmtId="0" fontId="0" fillId="11" borderId="13" xfId="0" applyFill="1" applyBorder="1" applyAlignment="1">
      <alignment horizontal="center" vertical="center" wrapText="1"/>
    </xf>
    <xf numFmtId="0" fontId="0" fillId="12" borderId="13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12" borderId="14" xfId="0" applyFill="1" applyBorder="1" applyAlignment="1">
      <alignment horizontal="center" vertical="center" wrapText="1"/>
    </xf>
    <xf numFmtId="0" fontId="0" fillId="13" borderId="15" xfId="0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1" fillId="13" borderId="19" xfId="0" applyFont="1" applyFill="1" applyBorder="1" applyAlignment="1">
      <alignment horizontal="center" vertical="center" wrapText="1"/>
    </xf>
    <xf numFmtId="0" fontId="1" fillId="13" borderId="9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quotePrefix="1" applyFill="1" applyBorder="1" applyAlignment="1">
      <alignment horizontal="center" vertical="center" wrapText="1"/>
    </xf>
    <xf numFmtId="0" fontId="2" fillId="2" borderId="1" xfId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2" fillId="2" borderId="1" xfId="1" applyFill="1" applyBorder="1" applyAlignment="1">
      <alignment horizontal="center" vertical="center"/>
    </xf>
    <xf numFmtId="0" fontId="0" fillId="2" borderId="1" xfId="0" quotePrefix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1" fillId="13" borderId="20" xfId="0" applyFont="1" applyFill="1" applyBorder="1" applyAlignment="1">
      <alignment horizontal="center" vertical="center" wrapText="1"/>
    </xf>
    <xf numFmtId="0" fontId="1" fillId="12" borderId="8" xfId="0" applyFont="1" applyFill="1" applyBorder="1" applyAlignment="1">
      <alignment horizontal="center" vertical="center" wrapText="1"/>
    </xf>
    <xf numFmtId="0" fontId="1" fillId="12" borderId="9" xfId="0" applyFont="1" applyFill="1" applyBorder="1" applyAlignment="1">
      <alignment horizontal="center" vertical="center" wrapText="1"/>
    </xf>
    <xf numFmtId="0" fontId="1" fillId="12" borderId="10" xfId="0" applyFont="1" applyFill="1" applyBorder="1" applyAlignment="1">
      <alignment horizontal="center" vertical="center" wrapText="1"/>
    </xf>
    <xf numFmtId="0" fontId="1" fillId="11" borderId="7" xfId="0" applyFont="1" applyFill="1" applyBorder="1" applyAlignment="1">
      <alignment horizontal="center" vertical="center" wrapText="1"/>
    </xf>
    <xf numFmtId="0" fontId="0" fillId="11" borderId="16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13" borderId="3" xfId="0" applyFont="1" applyFill="1" applyBorder="1" applyAlignment="1">
      <alignment horizontal="center" vertical="center" wrapText="1"/>
    </xf>
    <xf numFmtId="0" fontId="1" fillId="1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11" borderId="4" xfId="0" applyFont="1" applyFill="1" applyBorder="1" applyAlignment="1">
      <alignment horizontal="center" vertical="center" wrapText="1"/>
    </xf>
    <xf numFmtId="0" fontId="1" fillId="12" borderId="21" xfId="0" applyFont="1" applyFill="1" applyBorder="1" applyAlignment="1">
      <alignment horizontal="center" vertical="center" wrapText="1"/>
    </xf>
    <xf numFmtId="0" fontId="1" fillId="12" borderId="22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2">
    <dxf>
      <fill>
        <patternFill patternType="solid">
          <fgColor rgb="FF833C0C"/>
          <bgColor rgb="FF000000"/>
        </patternFill>
      </fill>
    </dxf>
    <dxf>
      <fill>
        <patternFill patternType="solid">
          <fgColor rgb="FFF8CBAD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nowscreen.com/" TargetMode="External"/><Relationship Id="rId299" Type="http://schemas.openxmlformats.org/officeDocument/2006/relationships/hyperlink" Target="mailto:lynn@thebrandpool.com.au" TargetMode="External"/><Relationship Id="rId21" Type="http://schemas.openxmlformats.org/officeDocument/2006/relationships/hyperlink" Target="mailto:rchristie@propelgroup.com.au" TargetMode="External"/><Relationship Id="rId63" Type="http://schemas.openxmlformats.org/officeDocument/2006/relationships/hyperlink" Target="mailto:jeff@clearconcept.com.au" TargetMode="External"/><Relationship Id="rId159" Type="http://schemas.openxmlformats.org/officeDocument/2006/relationships/hyperlink" Target="http://www.focuscreative.com.au/" TargetMode="External"/><Relationship Id="rId324" Type="http://schemas.openxmlformats.org/officeDocument/2006/relationships/hyperlink" Target="mailto:damian@inception.clinic" TargetMode="External"/><Relationship Id="rId366" Type="http://schemas.openxmlformats.org/officeDocument/2006/relationships/hyperlink" Target="https://www.circusgroup.com/" TargetMode="External"/><Relationship Id="rId170" Type="http://schemas.openxmlformats.org/officeDocument/2006/relationships/hyperlink" Target="mailto:james@commonv.com.au" TargetMode="External"/><Relationship Id="rId226" Type="http://schemas.openxmlformats.org/officeDocument/2006/relationships/hyperlink" Target="mailto:georgia.suttie@bmf.com.au" TargetMode="External"/><Relationship Id="rId433" Type="http://schemas.openxmlformats.org/officeDocument/2006/relationships/hyperlink" Target="http://www.90seconds.com/" TargetMode="External"/><Relationship Id="rId268" Type="http://schemas.openxmlformats.org/officeDocument/2006/relationships/hyperlink" Target="mailto:paige@keyyproductions.com" TargetMode="External"/><Relationship Id="rId32" Type="http://schemas.openxmlformats.org/officeDocument/2006/relationships/hyperlink" Target="mailto:alexandra@laundrylane.com" TargetMode="External"/><Relationship Id="rId74" Type="http://schemas.openxmlformats.org/officeDocument/2006/relationships/hyperlink" Target="mailto:laura.aldington@hosthavas.com" TargetMode="External"/><Relationship Id="rId128" Type="http://schemas.openxmlformats.org/officeDocument/2006/relationships/hyperlink" Target="https://tinyhunter.com.au/corp-gov-showcase/" TargetMode="External"/><Relationship Id="rId335" Type="http://schemas.openxmlformats.org/officeDocument/2006/relationships/hyperlink" Target="mailto:alexc@banjo.com.au" TargetMode="External"/><Relationship Id="rId377" Type="http://schemas.openxmlformats.org/officeDocument/2006/relationships/hyperlink" Target="https://www.brandergy.com.au/" TargetMode="External"/><Relationship Id="rId5" Type="http://schemas.openxmlformats.org/officeDocument/2006/relationships/hyperlink" Target="mailto:nicholas@am-i.com.au" TargetMode="External"/><Relationship Id="rId181" Type="http://schemas.openxmlformats.org/officeDocument/2006/relationships/hyperlink" Target="mailto:cmarks@maverick.com.au" TargetMode="External"/><Relationship Id="rId237" Type="http://schemas.openxmlformats.org/officeDocument/2006/relationships/hyperlink" Target="http://hinterlands.com.au/" TargetMode="External"/><Relationship Id="rId402" Type="http://schemas.openxmlformats.org/officeDocument/2006/relationships/hyperlink" Target="https://www.ravel.com.au/" TargetMode="External"/><Relationship Id="rId279" Type="http://schemas.openxmlformats.org/officeDocument/2006/relationships/hyperlink" Target="https://elasticstudios.com.au/" TargetMode="External"/><Relationship Id="rId444" Type="http://schemas.openxmlformats.org/officeDocument/2006/relationships/hyperlink" Target="mailto:dan.johns@havasmedia.com" TargetMode="External"/><Relationship Id="rId43" Type="http://schemas.openxmlformats.org/officeDocument/2006/relationships/hyperlink" Target="mailto:costa.vasili@ethnolink.com.au" TargetMode="External"/><Relationship Id="rId139" Type="http://schemas.openxmlformats.org/officeDocument/2006/relationships/hyperlink" Target="https://iconagency.com.au/" TargetMode="External"/><Relationship Id="rId290" Type="http://schemas.openxmlformats.org/officeDocument/2006/relationships/hyperlink" Target="mailto:rowan.j@brandexpression.com.au" TargetMode="External"/><Relationship Id="rId304" Type="http://schemas.openxmlformats.org/officeDocument/2006/relationships/hyperlink" Target="https://www.ogilvy.com.au/" TargetMode="External"/><Relationship Id="rId346" Type="http://schemas.openxmlformats.org/officeDocument/2006/relationships/hyperlink" Target="https://www.greaterleads.com/" TargetMode="External"/><Relationship Id="rId388" Type="http://schemas.openxmlformats.org/officeDocument/2006/relationships/hyperlink" Target="https://www.upsidedown.com.au/" TargetMode="External"/><Relationship Id="rId85" Type="http://schemas.openxmlformats.org/officeDocument/2006/relationships/hyperlink" Target="https://www.milkmoney.tv/" TargetMode="External"/><Relationship Id="rId150" Type="http://schemas.openxmlformats.org/officeDocument/2006/relationships/hyperlink" Target="mailto:alester@rocketagency.com.au" TargetMode="External"/><Relationship Id="rId192" Type="http://schemas.openxmlformats.org/officeDocument/2006/relationships/hyperlink" Target="http://bruce@illidgecreative.com.au" TargetMode="External"/><Relationship Id="rId206" Type="http://schemas.openxmlformats.org/officeDocument/2006/relationships/hyperlink" Target="mailto:samara@houseofkitch.com.au" TargetMode="External"/><Relationship Id="rId413" Type="http://schemas.openxmlformats.org/officeDocument/2006/relationships/hyperlink" Target="mailto:grant@proactivegraphics.com.au" TargetMode="External"/><Relationship Id="rId248" Type="http://schemas.openxmlformats.org/officeDocument/2006/relationships/hyperlink" Target="mailto:dave@twostory.com.au" TargetMode="External"/><Relationship Id="rId455" Type="http://schemas.openxmlformats.org/officeDocument/2006/relationships/hyperlink" Target="mailto:laura@imab2b.com" TargetMode="External"/><Relationship Id="rId12" Type="http://schemas.openxmlformats.org/officeDocument/2006/relationships/hyperlink" Target="http://www.brandfaction.com.au/" TargetMode="External"/><Relationship Id="rId108" Type="http://schemas.openxmlformats.org/officeDocument/2006/relationships/hyperlink" Target="mailto:ben.x.allen@nielsen.com" TargetMode="External"/><Relationship Id="rId315" Type="http://schemas.openxmlformats.org/officeDocument/2006/relationships/hyperlink" Target="https://actualisedesign.com/" TargetMode="External"/><Relationship Id="rId357" Type="http://schemas.openxmlformats.org/officeDocument/2006/relationships/hyperlink" Target="mailto:tom@connectingplots.com" TargetMode="External"/><Relationship Id="rId54" Type="http://schemas.openxmlformats.org/officeDocument/2006/relationships/hyperlink" Target="mailto:stuart@houstongroup.com.au" TargetMode="External"/><Relationship Id="rId96" Type="http://schemas.openxmlformats.org/officeDocument/2006/relationships/hyperlink" Target="mailto:sharon@agent99pr.com" TargetMode="External"/><Relationship Id="rId161" Type="http://schemas.openxmlformats.org/officeDocument/2006/relationships/hyperlink" Target="http://www.annazhu.com/" TargetMode="External"/><Relationship Id="rId217" Type="http://schemas.openxmlformats.org/officeDocument/2006/relationships/hyperlink" Target="http://www.porternovelli.com.au/" TargetMode="External"/><Relationship Id="rId399" Type="http://schemas.openxmlformats.org/officeDocument/2006/relationships/hyperlink" Target="mailto:tenders@fiftyfive5.com" TargetMode="External"/><Relationship Id="rId259" Type="http://schemas.openxmlformats.org/officeDocument/2006/relationships/hyperlink" Target="http://www.radicalorange.tv/" TargetMode="External"/><Relationship Id="rId424" Type="http://schemas.openxmlformats.org/officeDocument/2006/relationships/hyperlink" Target="mailto:chris@primarycommsgroup.com.au" TargetMode="External"/><Relationship Id="rId466" Type="http://schemas.openxmlformats.org/officeDocument/2006/relationships/hyperlink" Target="mailto:rach@rachelbeaney.com" TargetMode="External"/><Relationship Id="rId23" Type="http://schemas.openxmlformats.org/officeDocument/2006/relationships/hyperlink" Target="mailto:joel@stillonemedia.com" TargetMode="External"/><Relationship Id="rId119" Type="http://schemas.openxmlformats.org/officeDocument/2006/relationships/hyperlink" Target="mailto:roland@urbanactive.com.au" TargetMode="External"/><Relationship Id="rId270" Type="http://schemas.openxmlformats.org/officeDocument/2006/relationships/hyperlink" Target="mailto:kate@swingtime.com.au" TargetMode="External"/><Relationship Id="rId326" Type="http://schemas.openxmlformats.org/officeDocument/2006/relationships/hyperlink" Target="mailto:tracy@brandalism.com.au" TargetMode="External"/><Relationship Id="rId65" Type="http://schemas.openxmlformats.org/officeDocument/2006/relationships/hyperlink" Target="http://www.reddoorproduction.com.au/" TargetMode="External"/><Relationship Id="rId130" Type="http://schemas.openxmlformats.org/officeDocument/2006/relationships/hyperlink" Target="mailto:christine@nightjar.co" TargetMode="External"/><Relationship Id="rId368" Type="http://schemas.openxmlformats.org/officeDocument/2006/relationships/hyperlink" Target="https://rowland.com.au/" TargetMode="External"/><Relationship Id="rId172" Type="http://schemas.openxmlformats.org/officeDocument/2006/relationships/hyperlink" Target="mailto:cristina.forlani@wearesocial.net" TargetMode="External"/><Relationship Id="rId228" Type="http://schemas.openxmlformats.org/officeDocument/2006/relationships/hyperlink" Target="http://www.ghosydney.com/" TargetMode="External"/><Relationship Id="rId435" Type="http://schemas.openxmlformats.org/officeDocument/2006/relationships/hyperlink" Target="https://sites.google.com/view/corvid-copywriting" TargetMode="External"/><Relationship Id="rId281" Type="http://schemas.openxmlformats.org/officeDocument/2006/relationships/hyperlink" Target="https://www.digagency.com.au/" TargetMode="External"/><Relationship Id="rId337" Type="http://schemas.openxmlformats.org/officeDocument/2006/relationships/hyperlink" Target="mailto:ainslie.williams@qualie.com" TargetMode="External"/><Relationship Id="rId34" Type="http://schemas.openxmlformats.org/officeDocument/2006/relationships/hyperlink" Target="mailto:mark@cdi-design.com.au" TargetMode="External"/><Relationship Id="rId76" Type="http://schemas.openxmlformats.org/officeDocument/2006/relationships/hyperlink" Target="mailto:paul@carbon5.com.au" TargetMode="External"/><Relationship Id="rId141" Type="http://schemas.openxmlformats.org/officeDocument/2006/relationships/hyperlink" Target="http://messy.com.au/" TargetMode="External"/><Relationship Id="rId379" Type="http://schemas.openxmlformats.org/officeDocument/2006/relationships/hyperlink" Target="mailto:mike@definitivegroup.com.au" TargetMode="External"/><Relationship Id="rId7" Type="http://schemas.openxmlformats.org/officeDocument/2006/relationships/hyperlink" Target="mailto:jim.reed@resolvestrategic.com" TargetMode="External"/><Relationship Id="rId183" Type="http://schemas.openxmlformats.org/officeDocument/2006/relationships/hyperlink" Target="mailto:laura@lep.digital" TargetMode="External"/><Relationship Id="rId239" Type="http://schemas.openxmlformats.org/officeDocument/2006/relationships/hyperlink" Target="https://www.affinity.ad/" TargetMode="External"/><Relationship Id="rId390" Type="http://schemas.openxmlformats.org/officeDocument/2006/relationships/hyperlink" Target="mailto:az@ecddigital.com.au" TargetMode="External"/><Relationship Id="rId404" Type="http://schemas.openxmlformats.org/officeDocument/2006/relationships/hyperlink" Target="https://www.cultureshock.marketing/" TargetMode="External"/><Relationship Id="rId446" Type="http://schemas.openxmlformats.org/officeDocument/2006/relationships/hyperlink" Target="mailto:michael.smith@sbs.com.au" TargetMode="External"/><Relationship Id="rId250" Type="http://schemas.openxmlformats.org/officeDocument/2006/relationships/hyperlink" Target="mailto:ltuit@momentum2.com.au" TargetMode="External"/><Relationship Id="rId292" Type="http://schemas.openxmlformats.org/officeDocument/2006/relationships/hyperlink" Target="https://www.tdirections.com.au/" TargetMode="External"/><Relationship Id="rId306" Type="http://schemas.openxmlformats.org/officeDocument/2006/relationships/hyperlink" Target="https://www.daveclarkdesign.com/" TargetMode="External"/><Relationship Id="rId45" Type="http://schemas.openxmlformats.org/officeDocument/2006/relationships/hyperlink" Target="mailto:jeremy.flynn@wildbear.tv" TargetMode="External"/><Relationship Id="rId87" Type="http://schemas.openxmlformats.org/officeDocument/2006/relationships/hyperlink" Target="http://www.juntosmarketing.com.au/" TargetMode="External"/><Relationship Id="rId110" Type="http://schemas.openxmlformats.org/officeDocument/2006/relationships/hyperlink" Target="mailto:lroberts@invnt.com" TargetMode="External"/><Relationship Id="rId348" Type="http://schemas.openxmlformats.org/officeDocument/2006/relationships/hyperlink" Target="mailto:tim@apostledigital.com" TargetMode="External"/><Relationship Id="rId152" Type="http://schemas.openxmlformats.org/officeDocument/2006/relationships/hyperlink" Target="mailto:dan@spatialmedia.com.au" TargetMode="External"/><Relationship Id="rId194" Type="http://schemas.openxmlformats.org/officeDocument/2006/relationships/hyperlink" Target="http://www.wewonder.com.au/" TargetMode="External"/><Relationship Id="rId208" Type="http://schemas.openxmlformats.org/officeDocument/2006/relationships/hyperlink" Target="mailto:info@brandmatters.com.au" TargetMode="External"/><Relationship Id="rId415" Type="http://schemas.openxmlformats.org/officeDocument/2006/relationships/hyperlink" Target="mailto:hello@wedgetailpictures.com" TargetMode="External"/><Relationship Id="rId457" Type="http://schemas.openxmlformats.org/officeDocument/2006/relationships/hyperlink" Target="mailto:dave@loteagency.com.au" TargetMode="External"/><Relationship Id="rId261" Type="http://schemas.openxmlformats.org/officeDocument/2006/relationships/hyperlink" Target="http://www.editorgroup.com/" TargetMode="External"/><Relationship Id="rId14" Type="http://schemas.openxmlformats.org/officeDocument/2006/relationships/hyperlink" Target="mailto:georgia@33creative.com.au" TargetMode="External"/><Relationship Id="rId56" Type="http://schemas.openxmlformats.org/officeDocument/2006/relationships/hyperlink" Target="mailto:nick@mintfilms.com.au" TargetMode="External"/><Relationship Id="rId317" Type="http://schemas.openxmlformats.org/officeDocument/2006/relationships/hyperlink" Target="https://www.gutscreative.com.au/" TargetMode="External"/><Relationship Id="rId359" Type="http://schemas.openxmlformats.org/officeDocument/2006/relationships/hyperlink" Target="https://www.melhuishco.com/" TargetMode="External"/><Relationship Id="rId98" Type="http://schemas.openxmlformats.org/officeDocument/2006/relationships/hyperlink" Target="mailto:john@nextandco.com.au" TargetMode="External"/><Relationship Id="rId121" Type="http://schemas.openxmlformats.org/officeDocument/2006/relationships/hyperlink" Target="http://www.reelstory.co/" TargetMode="External"/><Relationship Id="rId163" Type="http://schemas.openxmlformats.org/officeDocument/2006/relationships/hyperlink" Target="http://www.limelightcreativemedia.com.au/" TargetMode="External"/><Relationship Id="rId219" Type="http://schemas.openxmlformats.org/officeDocument/2006/relationships/hyperlink" Target="http://www.addiestudio.com/" TargetMode="External"/><Relationship Id="rId370" Type="http://schemas.openxmlformats.org/officeDocument/2006/relationships/hyperlink" Target="mailto:joe@summerhill.com.au" TargetMode="External"/><Relationship Id="rId426" Type="http://schemas.openxmlformats.org/officeDocument/2006/relationships/hyperlink" Target="mailto:katie.henderson@72andsunny.com" TargetMode="External"/><Relationship Id="rId230" Type="http://schemas.openxmlformats.org/officeDocument/2006/relationships/hyperlink" Target="mailto:paula@embracesociety.com.au" TargetMode="External"/><Relationship Id="rId468" Type="http://schemas.openxmlformats.org/officeDocument/2006/relationships/hyperlink" Target="https://www.cbteegroup.com.au/" TargetMode="External"/><Relationship Id="rId25" Type="http://schemas.openxmlformats.org/officeDocument/2006/relationships/hyperlink" Target="mailto:ralph@antelopemedia.com.au" TargetMode="External"/><Relationship Id="rId67" Type="http://schemas.openxmlformats.org/officeDocument/2006/relationships/hyperlink" Target="https://www.suddenly.com.au/" TargetMode="External"/><Relationship Id="rId272" Type="http://schemas.openxmlformats.org/officeDocument/2006/relationships/hyperlink" Target="http://hellootto.com.au/" TargetMode="External"/><Relationship Id="rId328" Type="http://schemas.openxmlformats.org/officeDocument/2006/relationships/hyperlink" Target="mailto:ben@nobleagency.com.au" TargetMode="External"/><Relationship Id="rId132" Type="http://schemas.openxmlformats.org/officeDocument/2006/relationships/hyperlink" Target="mailto:ben@papermonkey.com.au" TargetMode="External"/><Relationship Id="rId174" Type="http://schemas.openxmlformats.org/officeDocument/2006/relationships/hyperlink" Target="mailto:simon.gawn@mccann.com.au" TargetMode="External"/><Relationship Id="rId381" Type="http://schemas.openxmlformats.org/officeDocument/2006/relationships/hyperlink" Target="https://pollen.com.au/" TargetMode="External"/><Relationship Id="rId241" Type="http://schemas.openxmlformats.org/officeDocument/2006/relationships/hyperlink" Target="http://www.noblebrandsworldwide.com/" TargetMode="External"/><Relationship Id="rId437" Type="http://schemas.openxmlformats.org/officeDocument/2006/relationships/hyperlink" Target="https://www.populares.co/" TargetMode="External"/><Relationship Id="rId36" Type="http://schemas.openxmlformats.org/officeDocument/2006/relationships/hyperlink" Target="http://www.frescocreative.com.au/" TargetMode="External"/><Relationship Id="rId283" Type="http://schemas.openxmlformats.org/officeDocument/2006/relationships/hyperlink" Target="http://clemengerbbdo.com.au/en" TargetMode="External"/><Relationship Id="rId339" Type="http://schemas.openxmlformats.org/officeDocument/2006/relationships/hyperlink" Target="mailto:margiereid@thinkerbell.com" TargetMode="External"/><Relationship Id="rId78" Type="http://schemas.openxmlformats.org/officeDocument/2006/relationships/hyperlink" Target="http://www.blkfsch.com/" TargetMode="External"/><Relationship Id="rId101" Type="http://schemas.openxmlformats.org/officeDocument/2006/relationships/hyperlink" Target="http://designdavey.com.au/" TargetMode="External"/><Relationship Id="rId143" Type="http://schemas.openxmlformats.org/officeDocument/2006/relationships/hyperlink" Target="http://www.pearshop.com.au/" TargetMode="External"/><Relationship Id="rId185" Type="http://schemas.openxmlformats.org/officeDocument/2006/relationships/hyperlink" Target="mailto:janine@thinksmartmarketing.com.au" TargetMode="External"/><Relationship Id="rId350" Type="http://schemas.openxmlformats.org/officeDocument/2006/relationships/hyperlink" Target="mailto:tenders@wallisgroup.com.au" TargetMode="External"/><Relationship Id="rId406" Type="http://schemas.openxmlformats.org/officeDocument/2006/relationships/hyperlink" Target="https://sparro.com.au/" TargetMode="External"/><Relationship Id="rId9" Type="http://schemas.openxmlformats.org/officeDocument/2006/relationships/hyperlink" Target="mailto:info@aenima.com.au" TargetMode="External"/><Relationship Id="rId210" Type="http://schemas.openxmlformats.org/officeDocument/2006/relationships/hyperlink" Target="mailto:georgie@ideaseed.com.au" TargetMode="External"/><Relationship Id="rId392" Type="http://schemas.openxmlformats.org/officeDocument/2006/relationships/hyperlink" Target="mailto:rebecca@someoneinsydney.com" TargetMode="External"/><Relationship Id="rId448" Type="http://schemas.openxmlformats.org/officeDocument/2006/relationships/hyperlink" Target="https://www.metrographics.com.au/" TargetMode="External"/><Relationship Id="rId252" Type="http://schemas.openxmlformats.org/officeDocument/2006/relationships/hyperlink" Target="mailto:daniel@wearecypha.com.au" TargetMode="External"/><Relationship Id="rId294" Type="http://schemas.openxmlformats.org/officeDocument/2006/relationships/hyperlink" Target="http://www.adrenalinmedia.com.au/" TargetMode="External"/><Relationship Id="rId308" Type="http://schemas.openxmlformats.org/officeDocument/2006/relationships/hyperlink" Target="https://www.designstreet.com.au/" TargetMode="External"/><Relationship Id="rId47" Type="http://schemas.openxmlformats.org/officeDocument/2006/relationships/hyperlink" Target="mailto:ahosie@energi.com.au" TargetMode="External"/><Relationship Id="rId89" Type="http://schemas.openxmlformats.org/officeDocument/2006/relationships/hyperlink" Target="http://www.folk.com.au/" TargetMode="External"/><Relationship Id="rId112" Type="http://schemas.openxmlformats.org/officeDocument/2006/relationships/hyperlink" Target="mailto:brittney.rigby@syd.ddb.com" TargetMode="External"/><Relationship Id="rId154" Type="http://schemas.openxmlformats.org/officeDocument/2006/relationships/hyperlink" Target="mailto:matt.robinson@analogfolk.com" TargetMode="External"/><Relationship Id="rId361" Type="http://schemas.openxmlformats.org/officeDocument/2006/relationships/hyperlink" Target="mailto:connect@struber.com.au" TargetMode="External"/><Relationship Id="rId196" Type="http://schemas.openxmlformats.org/officeDocument/2006/relationships/hyperlink" Target="http://www.integraldesign.com.au/" TargetMode="External"/><Relationship Id="rId417" Type="http://schemas.openxmlformats.org/officeDocument/2006/relationships/hyperlink" Target="mailto:dheard@heardagency.com" TargetMode="External"/><Relationship Id="rId459" Type="http://schemas.openxmlformats.org/officeDocument/2006/relationships/hyperlink" Target="mailto:chad.brown@ivegroup.com.au" TargetMode="External"/><Relationship Id="rId16" Type="http://schemas.openxmlformats.org/officeDocument/2006/relationships/hyperlink" Target="http://www.catobrandpartners.com/" TargetMode="External"/><Relationship Id="rId221" Type="http://schemas.openxmlformats.org/officeDocument/2006/relationships/hyperlink" Target="http://www.kazbarcreative.com.au/" TargetMode="External"/><Relationship Id="rId263" Type="http://schemas.openxmlformats.org/officeDocument/2006/relationships/hyperlink" Target="http://www.filmconstruction.com/" TargetMode="External"/><Relationship Id="rId319" Type="http://schemas.openxmlformats.org/officeDocument/2006/relationships/hyperlink" Target="https://www.reborn.co/" TargetMode="External"/><Relationship Id="rId470" Type="http://schemas.openxmlformats.org/officeDocument/2006/relationships/hyperlink" Target="mailto:phillipa@4bmedia.tv" TargetMode="External"/><Relationship Id="rId58" Type="http://schemas.openxmlformats.org/officeDocument/2006/relationships/hyperlink" Target="mailto:tom@goodchat.tv" TargetMode="External"/><Relationship Id="rId123" Type="http://schemas.openxmlformats.org/officeDocument/2006/relationships/hyperlink" Target="http://www.fluffycloudmedia.com.au/" TargetMode="External"/><Relationship Id="rId330" Type="http://schemas.openxmlformats.org/officeDocument/2006/relationships/hyperlink" Target="https://www.caravel.co/" TargetMode="External"/><Relationship Id="rId165" Type="http://schemas.openxmlformats.org/officeDocument/2006/relationships/hyperlink" Target="http://www.eltonward.com.au/" TargetMode="External"/><Relationship Id="rId372" Type="http://schemas.openxmlformats.org/officeDocument/2006/relationships/hyperlink" Target="mailto:haissam@wearebetter.com.au" TargetMode="External"/><Relationship Id="rId428" Type="http://schemas.openxmlformats.org/officeDocument/2006/relationships/hyperlink" Target="mailto:kingston@vrty.io" TargetMode="External"/><Relationship Id="rId232" Type="http://schemas.openxmlformats.org/officeDocument/2006/relationships/hyperlink" Target="mailto:jhume@hoyne.com.au" TargetMode="External"/><Relationship Id="rId274" Type="http://schemas.openxmlformats.org/officeDocument/2006/relationships/hyperlink" Target="mailto:rod@uncappedcreative.com.au" TargetMode="External"/><Relationship Id="rId27" Type="http://schemas.openxmlformats.org/officeDocument/2006/relationships/hyperlink" Target="mailto:EngineAPAC@EngineGroup.com" TargetMode="External"/><Relationship Id="rId69" Type="http://schemas.openxmlformats.org/officeDocument/2006/relationships/hyperlink" Target="https://thebeingagency.com/" TargetMode="External"/><Relationship Id="rId134" Type="http://schemas.openxmlformats.org/officeDocument/2006/relationships/hyperlink" Target="mailto:charlie@jimjamideas.com" TargetMode="External"/><Relationship Id="rId80" Type="http://schemas.openxmlformats.org/officeDocument/2006/relationships/hyperlink" Target="mailto:tenders@informationaccessgroup.com" TargetMode="External"/><Relationship Id="rId176" Type="http://schemas.openxmlformats.org/officeDocument/2006/relationships/hyperlink" Target="mailto:lewis@percept.com.au" TargetMode="External"/><Relationship Id="rId341" Type="http://schemas.openxmlformats.org/officeDocument/2006/relationships/hyperlink" Target="https://www.theworksagency.com.au/" TargetMode="External"/><Relationship Id="rId383" Type="http://schemas.openxmlformats.org/officeDocument/2006/relationships/hyperlink" Target="mailto:sam@hellosocial.com.au" TargetMode="External"/><Relationship Id="rId439" Type="http://schemas.openxmlformats.org/officeDocument/2006/relationships/hyperlink" Target="https://www.originalspin.com.au/" TargetMode="External"/><Relationship Id="rId201" Type="http://schemas.openxmlformats.org/officeDocument/2006/relationships/hyperlink" Target="mailto:damian@forthepeople.agency" TargetMode="External"/><Relationship Id="rId243" Type="http://schemas.openxmlformats.org/officeDocument/2006/relationships/hyperlink" Target="http://www.cooperfilms.net/" TargetMode="External"/><Relationship Id="rId285" Type="http://schemas.openxmlformats.org/officeDocument/2006/relationships/hyperlink" Target="http://www.punchydigitalmedia.com.au/" TargetMode="External"/><Relationship Id="rId450" Type="http://schemas.openxmlformats.org/officeDocument/2006/relationships/hyperlink" Target="https://marshlandia.co/" TargetMode="External"/><Relationship Id="rId38" Type="http://schemas.openxmlformats.org/officeDocument/2006/relationships/hyperlink" Target="http://www.5ivesenses.com.au/" TargetMode="External"/><Relationship Id="rId103" Type="http://schemas.openxmlformats.org/officeDocument/2006/relationships/hyperlink" Target="http://papermoose.com/" TargetMode="External"/><Relationship Id="rId310" Type="http://schemas.openxmlformats.org/officeDocument/2006/relationships/hyperlink" Target="https://www.engaging.io/" TargetMode="External"/><Relationship Id="rId91" Type="http://schemas.openxmlformats.org/officeDocument/2006/relationships/hyperlink" Target="https://www.rga.com/offices/sydney" TargetMode="External"/><Relationship Id="rId145" Type="http://schemas.openxmlformats.org/officeDocument/2006/relationships/hyperlink" Target="http://impressdesign.com.au/" TargetMode="External"/><Relationship Id="rId187" Type="http://schemas.openxmlformats.org/officeDocument/2006/relationships/hyperlink" Target="mailto:Lou.Petrolo@etcom.com.au" TargetMode="External"/><Relationship Id="rId352" Type="http://schemas.openxmlformats.org/officeDocument/2006/relationships/hyperlink" Target="https://www.capstoneediting.com.au/" TargetMode="External"/><Relationship Id="rId394" Type="http://schemas.openxmlformats.org/officeDocument/2006/relationships/hyperlink" Target="https://saatchi.com.au/" TargetMode="External"/><Relationship Id="rId408" Type="http://schemas.openxmlformats.org/officeDocument/2006/relationships/hyperlink" Target="https://new-moon.com/" TargetMode="External"/><Relationship Id="rId212" Type="http://schemas.openxmlformats.org/officeDocument/2006/relationships/hyperlink" Target="mailto:ahardwick@hardedge.com.au" TargetMode="External"/><Relationship Id="rId254" Type="http://schemas.openxmlformats.org/officeDocument/2006/relationships/hyperlink" Target="mailto:nives@productionexpress.com.au" TargetMode="External"/><Relationship Id="rId49" Type="http://schemas.openxmlformats.org/officeDocument/2006/relationships/hyperlink" Target="mailto:lennie@contentark.com.au" TargetMode="External"/><Relationship Id="rId114" Type="http://schemas.openxmlformats.org/officeDocument/2006/relationships/hyperlink" Target="mailto:beata@artofmultimedia.com.au" TargetMode="External"/><Relationship Id="rId296" Type="http://schemas.openxmlformats.org/officeDocument/2006/relationships/hyperlink" Target="mailto:susan@weaveweb.com.au" TargetMode="External"/><Relationship Id="rId461" Type="http://schemas.openxmlformats.org/officeDocument/2006/relationships/hyperlink" Target="https://www.forthepeople.agency/" TargetMode="External"/><Relationship Id="rId60" Type="http://schemas.openxmlformats.org/officeDocument/2006/relationships/hyperlink" Target="mailto:tracey.crowley@archibaldwilliams.com" TargetMode="External"/><Relationship Id="rId156" Type="http://schemas.openxmlformats.org/officeDocument/2006/relationships/hyperlink" Target="mailto:dan@foundatsea.co" TargetMode="External"/><Relationship Id="rId198" Type="http://schemas.openxmlformats.org/officeDocument/2006/relationships/hyperlink" Target="http://www.chello.com.au/" TargetMode="External"/><Relationship Id="rId321" Type="http://schemas.openxmlformats.org/officeDocument/2006/relationships/hyperlink" Target="https://explanimate.com.au/" TargetMode="External"/><Relationship Id="rId363" Type="http://schemas.openxmlformats.org/officeDocument/2006/relationships/hyperlink" Target="https://www.mcsaatchi.com.au/" TargetMode="External"/><Relationship Id="rId419" Type="http://schemas.openxmlformats.org/officeDocument/2006/relationships/hyperlink" Target="mailto:jacob.arnott@wethepeople.com.au" TargetMode="External"/><Relationship Id="rId223" Type="http://schemas.openxmlformats.org/officeDocument/2006/relationships/hyperlink" Target="mailto:info@canvasgroup.com.au" TargetMode="External"/><Relationship Id="rId430" Type="http://schemas.openxmlformats.org/officeDocument/2006/relationships/hyperlink" Target="mailto:sarah@wax.com.au" TargetMode="External"/><Relationship Id="rId18" Type="http://schemas.openxmlformats.org/officeDocument/2006/relationships/hyperlink" Target="http://www.immediate.net.au/" TargetMode="External"/><Relationship Id="rId265" Type="http://schemas.openxmlformats.org/officeDocument/2006/relationships/hyperlink" Target="mailto:Josh.Frith@thedubs.com" TargetMode="External"/><Relationship Id="rId125" Type="http://schemas.openxmlformats.org/officeDocument/2006/relationships/hyperlink" Target="http://www.bergefarrell.com/" TargetMode="External"/><Relationship Id="rId167" Type="http://schemas.openxmlformats.org/officeDocument/2006/relationships/hyperlink" Target="http://www.kingvideoproduction.com.au/" TargetMode="External"/><Relationship Id="rId332" Type="http://schemas.openxmlformats.org/officeDocument/2006/relationships/hyperlink" Target="https://www.newcast.com.au/" TargetMode="External"/><Relationship Id="rId374" Type="http://schemas.openxmlformats.org/officeDocument/2006/relationships/hyperlink" Target="mailto:brynn@humbleproductions.com.au" TargetMode="External"/><Relationship Id="rId71" Type="http://schemas.openxmlformats.org/officeDocument/2006/relationships/hyperlink" Target="http://sixblackpens.com/" TargetMode="External"/><Relationship Id="rId234" Type="http://schemas.openxmlformats.org/officeDocument/2006/relationships/hyperlink" Target="mailto:suzy.smiley@apparent.com.au" TargetMode="External"/><Relationship Id="rId2" Type="http://schemas.openxmlformats.org/officeDocument/2006/relationships/hyperlink" Target="http://www.theideashed.com/" TargetMode="External"/><Relationship Id="rId29" Type="http://schemas.openxmlformats.org/officeDocument/2006/relationships/hyperlink" Target="https://vandal.sydney/" TargetMode="External"/><Relationship Id="rId276" Type="http://schemas.openxmlformats.org/officeDocument/2006/relationships/hyperlink" Target="mailto:jessie@multiculture.com.au" TargetMode="External"/><Relationship Id="rId441" Type="http://schemas.openxmlformats.org/officeDocument/2006/relationships/hyperlink" Target="https://www.groundagency.com/" TargetMode="External"/><Relationship Id="rId40" Type="http://schemas.openxmlformats.org/officeDocument/2006/relationships/hyperlink" Target="https://anothercolour.com.au/" TargetMode="External"/><Relationship Id="rId136" Type="http://schemas.openxmlformats.org/officeDocument/2006/relationships/hyperlink" Target="mailto:jamie.cohen@clockworkfilms.tv" TargetMode="External"/><Relationship Id="rId178" Type="http://schemas.openxmlformats.org/officeDocument/2006/relationships/hyperlink" Target="mailto:oliver.james@yakkazoo.com" TargetMode="External"/><Relationship Id="rId301" Type="http://schemas.openxmlformats.org/officeDocument/2006/relationships/hyperlink" Target="mailto:alana@circul8.com.au" TargetMode="External"/><Relationship Id="rId343" Type="http://schemas.openxmlformats.org/officeDocument/2006/relationships/hyperlink" Target="https://www.l-ldesign.com.au/" TargetMode="External"/><Relationship Id="rId82" Type="http://schemas.openxmlformats.org/officeDocument/2006/relationships/hyperlink" Target="mailto:tim@alphabetstudio.co" TargetMode="External"/><Relationship Id="rId203" Type="http://schemas.openxmlformats.org/officeDocument/2006/relationships/hyperlink" Target="http://www.passionberrymarketing.com/" TargetMode="External"/><Relationship Id="rId385" Type="http://schemas.openxmlformats.org/officeDocument/2006/relationships/hyperlink" Target="mailto:jhurst@tribunepartners.com.au" TargetMode="External"/><Relationship Id="rId19" Type="http://schemas.openxmlformats.org/officeDocument/2006/relationships/hyperlink" Target="mailto:aaron@capturecreative.com.au" TargetMode="External"/><Relationship Id="rId224" Type="http://schemas.openxmlformats.org/officeDocument/2006/relationships/hyperlink" Target="mailto:aweinress@hixonfilms.com" TargetMode="External"/><Relationship Id="rId245" Type="http://schemas.openxmlformats.org/officeDocument/2006/relationships/hyperlink" Target="https://www.loud.com.au/" TargetMode="External"/><Relationship Id="rId266" Type="http://schemas.openxmlformats.org/officeDocument/2006/relationships/hyperlink" Target="mailto:angela@zspace.com.au" TargetMode="External"/><Relationship Id="rId287" Type="http://schemas.openxmlformats.org/officeDocument/2006/relationships/hyperlink" Target="https://www.we-worldwide.com.au/" TargetMode="External"/><Relationship Id="rId410" Type="http://schemas.openxmlformats.org/officeDocument/2006/relationships/hyperlink" Target="https://89degreeseast.com/" TargetMode="External"/><Relationship Id="rId431" Type="http://schemas.openxmlformats.org/officeDocument/2006/relationships/hyperlink" Target="https://www.wax.com.au/" TargetMode="External"/><Relationship Id="rId452" Type="http://schemas.openxmlformats.org/officeDocument/2006/relationships/hyperlink" Target="https://boko.com.au/" TargetMode="External"/><Relationship Id="rId30" Type="http://schemas.openxmlformats.org/officeDocument/2006/relationships/hyperlink" Target="mailto:sandra@whydocumentaries.com.au" TargetMode="External"/><Relationship Id="rId105" Type="http://schemas.openxmlformats.org/officeDocument/2006/relationships/hyperlink" Target="http://goodsong.com.au/" TargetMode="External"/><Relationship Id="rId126" Type="http://schemas.openxmlformats.org/officeDocument/2006/relationships/hyperlink" Target="mailto:anthony@destinationagency.com.au" TargetMode="External"/><Relationship Id="rId147" Type="http://schemas.openxmlformats.org/officeDocument/2006/relationships/hyperlink" Target="http://yango.com.au/" TargetMode="External"/><Relationship Id="rId168" Type="http://schemas.openxmlformats.org/officeDocument/2006/relationships/hyperlink" Target="http://www.lionize.com.au/" TargetMode="External"/><Relationship Id="rId312" Type="http://schemas.openxmlformats.org/officeDocument/2006/relationships/hyperlink" Target="mailto:dmicallef@abergowerdigital.com.au" TargetMode="External"/><Relationship Id="rId333" Type="http://schemas.openxmlformats.org/officeDocument/2006/relationships/hyperlink" Target="mailto:jamie@bake.agency" TargetMode="External"/><Relationship Id="rId354" Type="http://schemas.openxmlformats.org/officeDocument/2006/relationships/hyperlink" Target="https://themisfits.media/" TargetMode="External"/><Relationship Id="rId51" Type="http://schemas.openxmlformats.org/officeDocument/2006/relationships/hyperlink" Target="mailto:alicia@april5.com.au" TargetMode="External"/><Relationship Id="rId72" Type="http://schemas.openxmlformats.org/officeDocument/2006/relationships/hyperlink" Target="mailto:lisa@enigma.net.au" TargetMode="External"/><Relationship Id="rId93" Type="http://schemas.openxmlformats.org/officeDocument/2006/relationships/hyperlink" Target="http://www.rpsgroup.com/" TargetMode="External"/><Relationship Id="rId189" Type="http://schemas.openxmlformats.org/officeDocument/2006/relationships/hyperlink" Target="mailto:pino@culper.com.au" TargetMode="External"/><Relationship Id="rId375" Type="http://schemas.openxmlformats.org/officeDocument/2006/relationships/hyperlink" Target="https://www.humbleproductions.com.au/" TargetMode="External"/><Relationship Id="rId396" Type="http://schemas.openxmlformats.org/officeDocument/2006/relationships/hyperlink" Target="mailto:neil.duncan@leoburnett.com.au" TargetMode="External"/><Relationship Id="rId3" Type="http://schemas.openxmlformats.org/officeDocument/2006/relationships/hyperlink" Target="mailto:dsoekov@gmail.com" TargetMode="External"/><Relationship Id="rId214" Type="http://schemas.openxmlformats.org/officeDocument/2006/relationships/hyperlink" Target="mailto:lisl@ellisjones.com.au" TargetMode="External"/><Relationship Id="rId235" Type="http://schemas.openxmlformats.org/officeDocument/2006/relationships/hyperlink" Target="http://www.apparent.com.au/" TargetMode="External"/><Relationship Id="rId256" Type="http://schemas.openxmlformats.org/officeDocument/2006/relationships/hyperlink" Target="mailto:edelle.gettings@wundermanthompson.com" TargetMode="External"/><Relationship Id="rId277" Type="http://schemas.openxmlformats.org/officeDocument/2006/relationships/hyperlink" Target="http://www.multiculture.com.au/" TargetMode="External"/><Relationship Id="rId298" Type="http://schemas.openxmlformats.org/officeDocument/2006/relationships/hyperlink" Target="https://www.hoopgroup.com.au/" TargetMode="External"/><Relationship Id="rId400" Type="http://schemas.openxmlformats.org/officeDocument/2006/relationships/hyperlink" Target="https://fiftyfive5.com/" TargetMode="External"/><Relationship Id="rId421" Type="http://schemas.openxmlformats.org/officeDocument/2006/relationships/hyperlink" Target="https://eux.com.au/" TargetMode="External"/><Relationship Id="rId442" Type="http://schemas.openxmlformats.org/officeDocument/2006/relationships/hyperlink" Target="mailto:ben@globalpictures.com.au" TargetMode="External"/><Relationship Id="rId463" Type="http://schemas.openxmlformats.org/officeDocument/2006/relationships/hyperlink" Target="https://www.blackrhinocreative.com.au/" TargetMode="External"/><Relationship Id="rId116" Type="http://schemas.openxmlformats.org/officeDocument/2006/relationships/hyperlink" Target="mailto:mark@nowscreen.com" TargetMode="External"/><Relationship Id="rId137" Type="http://schemas.openxmlformats.org/officeDocument/2006/relationships/hyperlink" Target="http://www.clockworkfilms.com.au/" TargetMode="External"/><Relationship Id="rId158" Type="http://schemas.openxmlformats.org/officeDocument/2006/relationships/hyperlink" Target="mailto:ellie@focuscreative.com.au" TargetMode="External"/><Relationship Id="rId302" Type="http://schemas.openxmlformats.org/officeDocument/2006/relationships/hyperlink" Target="https://www.circul8.com.au/" TargetMode="External"/><Relationship Id="rId323" Type="http://schemas.openxmlformats.org/officeDocument/2006/relationships/hyperlink" Target="https://www.audienceproductions.com/" TargetMode="External"/><Relationship Id="rId344" Type="http://schemas.openxmlformats.org/officeDocument/2006/relationships/hyperlink" Target="mailto:kate.daly@imagination.com" TargetMode="External"/><Relationship Id="rId20" Type="http://schemas.openxmlformats.org/officeDocument/2006/relationships/hyperlink" Target="http://www.capturecreative.com.au/" TargetMode="External"/><Relationship Id="rId41" Type="http://schemas.openxmlformats.org/officeDocument/2006/relationships/hyperlink" Target="mailto:angus.belling@kjassoc.com.au" TargetMode="External"/><Relationship Id="rId62" Type="http://schemas.openxmlformats.org/officeDocument/2006/relationships/hyperlink" Target="https://www.clearconcept.com.au/" TargetMode="External"/><Relationship Id="rId83" Type="http://schemas.openxmlformats.org/officeDocument/2006/relationships/hyperlink" Target="http://www.alphabetstudio.co/" TargetMode="External"/><Relationship Id="rId179" Type="http://schemas.openxmlformats.org/officeDocument/2006/relationships/hyperlink" Target="https://www.yakkazoo.com/" TargetMode="External"/><Relationship Id="rId365" Type="http://schemas.openxmlformats.org/officeDocument/2006/relationships/hyperlink" Target="mailto:lincoln@circusgroup.com" TargetMode="External"/><Relationship Id="rId386" Type="http://schemas.openxmlformats.org/officeDocument/2006/relationships/hyperlink" Target="mailto:joe@maxagency.com.au" TargetMode="External"/><Relationship Id="rId190" Type="http://schemas.openxmlformats.org/officeDocument/2006/relationships/hyperlink" Target="http://www.culper.com.au/" TargetMode="External"/><Relationship Id="rId204" Type="http://schemas.openxmlformats.org/officeDocument/2006/relationships/hyperlink" Target="mailto:natalie.frischknecht@vmlyr.com" TargetMode="External"/><Relationship Id="rId225" Type="http://schemas.openxmlformats.org/officeDocument/2006/relationships/hyperlink" Target="http://hixonfilms.com/" TargetMode="External"/><Relationship Id="rId246" Type="http://schemas.openxmlformats.org/officeDocument/2006/relationships/hyperlink" Target="mailto:design@jmr.com.au" TargetMode="External"/><Relationship Id="rId267" Type="http://schemas.openxmlformats.org/officeDocument/2006/relationships/hyperlink" Target="http://www.zspace.com.au/" TargetMode="External"/><Relationship Id="rId288" Type="http://schemas.openxmlformats.org/officeDocument/2006/relationships/hyperlink" Target="mailto:rachel@thehealthybrandcompany.com" TargetMode="External"/><Relationship Id="rId411" Type="http://schemas.openxmlformats.org/officeDocument/2006/relationships/hyperlink" Target="mailto:michael@esemprojects.com" TargetMode="External"/><Relationship Id="rId432" Type="http://schemas.openxmlformats.org/officeDocument/2006/relationships/hyperlink" Target="mailto:adam.powell@90seconds.com" TargetMode="External"/><Relationship Id="rId453" Type="http://schemas.openxmlformats.org/officeDocument/2006/relationships/hyperlink" Target="mailto:alex@kinshipdigital.com" TargetMode="External"/><Relationship Id="rId106" Type="http://schemas.openxmlformats.org/officeDocument/2006/relationships/hyperlink" Target="mailto:fergus.stoddart@edge.agency" TargetMode="External"/><Relationship Id="rId127" Type="http://schemas.openxmlformats.org/officeDocument/2006/relationships/hyperlink" Target="http://www.destinationagency.com.au/" TargetMode="External"/><Relationship Id="rId313" Type="http://schemas.openxmlformats.org/officeDocument/2006/relationships/hyperlink" Target="mailto:mikey@digitalstorytellers.com.au" TargetMode="External"/><Relationship Id="rId10" Type="http://schemas.openxmlformats.org/officeDocument/2006/relationships/hyperlink" Target="http://www.aenima.com.au/" TargetMode="External"/><Relationship Id="rId31" Type="http://schemas.openxmlformats.org/officeDocument/2006/relationships/hyperlink" Target="http://whydocumentaries.com.au/" TargetMode="External"/><Relationship Id="rId52" Type="http://schemas.openxmlformats.org/officeDocument/2006/relationships/hyperlink" Target="mailto:tom@principals.com.au" TargetMode="External"/><Relationship Id="rId73" Type="http://schemas.openxmlformats.org/officeDocument/2006/relationships/hyperlink" Target="http://www.enigma.net.au/" TargetMode="External"/><Relationship Id="rId94" Type="http://schemas.openxmlformats.org/officeDocument/2006/relationships/hyperlink" Target="http://www.acronymdesign.com.au/" TargetMode="External"/><Relationship Id="rId148" Type="http://schemas.openxmlformats.org/officeDocument/2006/relationships/hyperlink" Target="mailto:bhaslem@whmspa.com.au" TargetMode="External"/><Relationship Id="rId169" Type="http://schemas.openxmlformats.org/officeDocument/2006/relationships/hyperlink" Target="mailto:mikeyt@lionize.com.au" TargetMode="External"/><Relationship Id="rId334" Type="http://schemas.openxmlformats.org/officeDocument/2006/relationships/hyperlink" Target="https://hankmango.com/" TargetMode="External"/><Relationship Id="rId355" Type="http://schemas.openxmlformats.org/officeDocument/2006/relationships/hyperlink" Target="mailto:amy@itchyfeetdigital.com" TargetMode="External"/><Relationship Id="rId376" Type="http://schemas.openxmlformats.org/officeDocument/2006/relationships/hyperlink" Target="mailto:jessy@brandergy.com.au" TargetMode="External"/><Relationship Id="rId397" Type="http://schemas.openxmlformats.org/officeDocument/2006/relationships/hyperlink" Target="https://www.leoburnett.com.au/" TargetMode="External"/><Relationship Id="rId4" Type="http://schemas.openxmlformats.org/officeDocument/2006/relationships/hyperlink" Target="http://danielsoekov.com/" TargetMode="External"/><Relationship Id="rId180" Type="http://schemas.openxmlformats.org/officeDocument/2006/relationships/hyperlink" Target="mailto:bernie.johnson@adrenalinmedia.com.au" TargetMode="External"/><Relationship Id="rId215" Type="http://schemas.openxmlformats.org/officeDocument/2006/relationships/hyperlink" Target="http://www.ellisjones.com.au/" TargetMode="External"/><Relationship Id="rId236" Type="http://schemas.openxmlformats.org/officeDocument/2006/relationships/hyperlink" Target="mailto:chrisb@hinterlands.com.au" TargetMode="External"/><Relationship Id="rId257" Type="http://schemas.openxmlformats.org/officeDocument/2006/relationships/hyperlink" Target="https://www.wundermanthompson.com/australia" TargetMode="External"/><Relationship Id="rId278" Type="http://schemas.openxmlformats.org/officeDocument/2006/relationships/hyperlink" Target="mailto:nathan@elasticstudios.com.au" TargetMode="External"/><Relationship Id="rId401" Type="http://schemas.openxmlformats.org/officeDocument/2006/relationships/hyperlink" Target="mailto:pete@ravel.com.au" TargetMode="External"/><Relationship Id="rId422" Type="http://schemas.openxmlformats.org/officeDocument/2006/relationships/hyperlink" Target="https://www.proofcommunications.com.au/" TargetMode="External"/><Relationship Id="rId443" Type="http://schemas.openxmlformats.org/officeDocument/2006/relationships/hyperlink" Target="https://www.globalpictures.com.au/" TargetMode="External"/><Relationship Id="rId464" Type="http://schemas.openxmlformats.org/officeDocument/2006/relationships/hyperlink" Target="mailto:ben@kgmdesign.com.au" TargetMode="External"/><Relationship Id="rId303" Type="http://schemas.openxmlformats.org/officeDocument/2006/relationships/hyperlink" Target="mailto:olivia.chamberlain@ogilvy.com.au" TargetMode="External"/><Relationship Id="rId42" Type="http://schemas.openxmlformats.org/officeDocument/2006/relationships/hyperlink" Target="http://www.kjassoc.com.au/" TargetMode="External"/><Relationship Id="rId84" Type="http://schemas.openxmlformats.org/officeDocument/2006/relationships/hyperlink" Target="mailto:carrie.williams@milkmoney.tv" TargetMode="External"/><Relationship Id="rId138" Type="http://schemas.openxmlformats.org/officeDocument/2006/relationships/hyperlink" Target="mailto:joanne@iconagency.com.au" TargetMode="External"/><Relationship Id="rId345" Type="http://schemas.openxmlformats.org/officeDocument/2006/relationships/hyperlink" Target="https://imagination.com/" TargetMode="External"/><Relationship Id="rId387" Type="http://schemas.openxmlformats.org/officeDocument/2006/relationships/hyperlink" Target="mailto:jason@movedbydesign.com.au" TargetMode="External"/><Relationship Id="rId191" Type="http://schemas.openxmlformats.org/officeDocument/2006/relationships/hyperlink" Target="mailto:bruce@illidgecreative.com.au" TargetMode="External"/><Relationship Id="rId205" Type="http://schemas.openxmlformats.org/officeDocument/2006/relationships/hyperlink" Target="http://www.vmlyr.com/" TargetMode="External"/><Relationship Id="rId247" Type="http://schemas.openxmlformats.org/officeDocument/2006/relationships/hyperlink" Target="http://www.jmr.com.au/" TargetMode="External"/><Relationship Id="rId412" Type="http://schemas.openxmlformats.org/officeDocument/2006/relationships/hyperlink" Target="https://esemprojects.com/" TargetMode="External"/><Relationship Id="rId107" Type="http://schemas.openxmlformats.org/officeDocument/2006/relationships/hyperlink" Target="http://edge.agency/" TargetMode="External"/><Relationship Id="rId289" Type="http://schemas.openxmlformats.org/officeDocument/2006/relationships/hyperlink" Target="https://www.thehealthybrandcompany.com/" TargetMode="External"/><Relationship Id="rId454" Type="http://schemas.openxmlformats.org/officeDocument/2006/relationships/hyperlink" Target="https://www.kinshipdigital.com/" TargetMode="External"/><Relationship Id="rId11" Type="http://schemas.openxmlformats.org/officeDocument/2006/relationships/hyperlink" Target="mailto:tonyg@brandfaction.com.au" TargetMode="External"/><Relationship Id="rId53" Type="http://schemas.openxmlformats.org/officeDocument/2006/relationships/hyperlink" Target="https://www.principals.com.au/" TargetMode="External"/><Relationship Id="rId149" Type="http://schemas.openxmlformats.org/officeDocument/2006/relationships/hyperlink" Target="http://whmspa.com.au/" TargetMode="External"/><Relationship Id="rId314" Type="http://schemas.openxmlformats.org/officeDocument/2006/relationships/hyperlink" Target="mailto:james@actualisedesign.com" TargetMode="External"/><Relationship Id="rId356" Type="http://schemas.openxmlformats.org/officeDocument/2006/relationships/hyperlink" Target="https://elmcommunications.com.au/" TargetMode="External"/><Relationship Id="rId398" Type="http://schemas.openxmlformats.org/officeDocument/2006/relationships/hyperlink" Target="mailto:thang.ngo@identitycomms.com.au" TargetMode="External"/><Relationship Id="rId95" Type="http://schemas.openxmlformats.org/officeDocument/2006/relationships/hyperlink" Target="mailto:melonieryan@acronymdesign.com.au" TargetMode="External"/><Relationship Id="rId160" Type="http://schemas.openxmlformats.org/officeDocument/2006/relationships/hyperlink" Target="mailto:a@annazhu.com" TargetMode="External"/><Relationship Id="rId216" Type="http://schemas.openxmlformats.org/officeDocument/2006/relationships/hyperlink" Target="mailto:pkent@porternovelli.com.au" TargetMode="External"/><Relationship Id="rId423" Type="http://schemas.openxmlformats.org/officeDocument/2006/relationships/hyperlink" Target="mailto:rupert@eux.com.au" TargetMode="External"/><Relationship Id="rId258" Type="http://schemas.openxmlformats.org/officeDocument/2006/relationships/hyperlink" Target="mailto:david@radicalorange.tv" TargetMode="External"/><Relationship Id="rId465" Type="http://schemas.openxmlformats.org/officeDocument/2006/relationships/hyperlink" Target="https://kgmdesign.com.au/" TargetMode="External"/><Relationship Id="rId22" Type="http://schemas.openxmlformats.org/officeDocument/2006/relationships/hyperlink" Target="https://www.propelgroup.com.au/" TargetMode="External"/><Relationship Id="rId64" Type="http://schemas.openxmlformats.org/officeDocument/2006/relationships/hyperlink" Target="mailto:natalie@reddoorproduction.com.au" TargetMode="External"/><Relationship Id="rId118" Type="http://schemas.openxmlformats.org/officeDocument/2006/relationships/hyperlink" Target="https://www.urbanactive.com.au/" TargetMode="External"/><Relationship Id="rId325" Type="http://schemas.openxmlformats.org/officeDocument/2006/relationships/hyperlink" Target="https://www.inception.clinic/" TargetMode="External"/><Relationship Id="rId367" Type="http://schemas.openxmlformats.org/officeDocument/2006/relationships/hyperlink" Target="mailto:tenders@rowland.com.au" TargetMode="External"/><Relationship Id="rId171" Type="http://schemas.openxmlformats.org/officeDocument/2006/relationships/hyperlink" Target="http://commonv.com.au/" TargetMode="External"/><Relationship Id="rId227" Type="http://schemas.openxmlformats.org/officeDocument/2006/relationships/hyperlink" Target="http://www.bmf.com.au/" TargetMode="External"/><Relationship Id="rId269" Type="http://schemas.openxmlformats.org/officeDocument/2006/relationships/hyperlink" Target="http://www.keyyproductions.com.au/" TargetMode="External"/><Relationship Id="rId434" Type="http://schemas.openxmlformats.org/officeDocument/2006/relationships/hyperlink" Target="mailto:samanthashilton@gmail.com" TargetMode="External"/><Relationship Id="rId33" Type="http://schemas.openxmlformats.org/officeDocument/2006/relationships/hyperlink" Target="http://www.laundrylane.com/" TargetMode="External"/><Relationship Id="rId129" Type="http://schemas.openxmlformats.org/officeDocument/2006/relationships/hyperlink" Target="mailto:hello@tinyhunter.com.au" TargetMode="External"/><Relationship Id="rId280" Type="http://schemas.openxmlformats.org/officeDocument/2006/relationships/hyperlink" Target="mailto:lisa.ramsey@digagency.com.au" TargetMode="External"/><Relationship Id="rId336" Type="http://schemas.openxmlformats.org/officeDocument/2006/relationships/hyperlink" Target="https://banjo.com.au/" TargetMode="External"/><Relationship Id="rId75" Type="http://schemas.openxmlformats.org/officeDocument/2006/relationships/hyperlink" Target="http://www.hosthavas.com/" TargetMode="External"/><Relationship Id="rId140" Type="http://schemas.openxmlformats.org/officeDocument/2006/relationships/hyperlink" Target="mailto:design@messy.com.au" TargetMode="External"/><Relationship Id="rId182" Type="http://schemas.openxmlformats.org/officeDocument/2006/relationships/hyperlink" Target="http://maverick.com.au/" TargetMode="External"/><Relationship Id="rId378" Type="http://schemas.openxmlformats.org/officeDocument/2006/relationships/hyperlink" Target="https://marzipanmedia.com.au/" TargetMode="External"/><Relationship Id="rId403" Type="http://schemas.openxmlformats.org/officeDocument/2006/relationships/hyperlink" Target="mailto:david@cultureshock.marketing" TargetMode="External"/><Relationship Id="rId6" Type="http://schemas.openxmlformats.org/officeDocument/2006/relationships/hyperlink" Target="https://www.am-i.com.au/" TargetMode="External"/><Relationship Id="rId238" Type="http://schemas.openxmlformats.org/officeDocument/2006/relationships/hyperlink" Target="mailto:luke@affinity.ad" TargetMode="External"/><Relationship Id="rId445" Type="http://schemas.openxmlformats.org/officeDocument/2006/relationships/hyperlink" Target="https://www.havasgroup.com.au/" TargetMode="External"/><Relationship Id="rId291" Type="http://schemas.openxmlformats.org/officeDocument/2006/relationships/hyperlink" Target="http://www.brandexpression.com.au/" TargetMode="External"/><Relationship Id="rId305" Type="http://schemas.openxmlformats.org/officeDocument/2006/relationships/hyperlink" Target="mailto:reuben@daveclark.co.nz" TargetMode="External"/><Relationship Id="rId347" Type="http://schemas.openxmlformats.org/officeDocument/2006/relationships/hyperlink" Target="mailto:martin@inthethicket.com.au" TargetMode="External"/><Relationship Id="rId44" Type="http://schemas.openxmlformats.org/officeDocument/2006/relationships/hyperlink" Target="https://www.ethnolink.com.au/" TargetMode="External"/><Relationship Id="rId86" Type="http://schemas.openxmlformats.org/officeDocument/2006/relationships/hyperlink" Target="mailto:carolyn@juntosmarketing.com.au" TargetMode="External"/><Relationship Id="rId151" Type="http://schemas.openxmlformats.org/officeDocument/2006/relationships/hyperlink" Target="http://rocketagency.com.au/" TargetMode="External"/><Relationship Id="rId389" Type="http://schemas.openxmlformats.org/officeDocument/2006/relationships/hyperlink" Target="mailto:clare.v@upsidedown.com.au" TargetMode="External"/><Relationship Id="rId193" Type="http://schemas.openxmlformats.org/officeDocument/2006/relationships/hyperlink" Target="mailto:apopek@wewonder.com.au" TargetMode="External"/><Relationship Id="rId207" Type="http://schemas.openxmlformats.org/officeDocument/2006/relationships/hyperlink" Target="http://www.houseofkitch.com.au/" TargetMode="External"/><Relationship Id="rId249" Type="http://schemas.openxmlformats.org/officeDocument/2006/relationships/hyperlink" Target="http://www.twostory.com.au/" TargetMode="External"/><Relationship Id="rId414" Type="http://schemas.openxmlformats.org/officeDocument/2006/relationships/hyperlink" Target="https://proactivegraphics.com.au/" TargetMode="External"/><Relationship Id="rId456" Type="http://schemas.openxmlformats.org/officeDocument/2006/relationships/hyperlink" Target="https://www.imab2b.com/" TargetMode="External"/><Relationship Id="rId13" Type="http://schemas.openxmlformats.org/officeDocument/2006/relationships/hyperlink" Target="http://33creative.com.au/" TargetMode="External"/><Relationship Id="rId109" Type="http://schemas.openxmlformats.org/officeDocument/2006/relationships/hyperlink" Target="https://www.nielsen.com/au/en/contact-us/" TargetMode="External"/><Relationship Id="rId260" Type="http://schemas.openxmlformats.org/officeDocument/2006/relationships/hyperlink" Target="mailto:inbox@editorgroup.com" TargetMode="External"/><Relationship Id="rId316" Type="http://schemas.openxmlformats.org/officeDocument/2006/relationships/hyperlink" Target="mailto:kara@gutscreative.com.au" TargetMode="External"/><Relationship Id="rId55" Type="http://schemas.openxmlformats.org/officeDocument/2006/relationships/hyperlink" Target="http://houstongroup.com.au/" TargetMode="External"/><Relationship Id="rId97" Type="http://schemas.openxmlformats.org/officeDocument/2006/relationships/hyperlink" Target="https://agent99pr.com/" TargetMode="External"/><Relationship Id="rId120" Type="http://schemas.openxmlformats.org/officeDocument/2006/relationships/hyperlink" Target="mailto:zannie.abbott@bigpond.com" TargetMode="External"/><Relationship Id="rId358" Type="http://schemas.openxmlformats.org/officeDocument/2006/relationships/hyperlink" Target="https://www.infinity2.com.au/" TargetMode="External"/><Relationship Id="rId162" Type="http://schemas.openxmlformats.org/officeDocument/2006/relationships/hyperlink" Target="mailto:ian@limelightcreativemedia.com.au" TargetMode="External"/><Relationship Id="rId218" Type="http://schemas.openxmlformats.org/officeDocument/2006/relationships/hyperlink" Target="mailto:info@addiestudio.com" TargetMode="External"/><Relationship Id="rId425" Type="http://schemas.openxmlformats.org/officeDocument/2006/relationships/hyperlink" Target="https://www.primarycommsgroup.com.au/" TargetMode="External"/><Relationship Id="rId467" Type="http://schemas.openxmlformats.org/officeDocument/2006/relationships/hyperlink" Target="https://rachelbeaney.com/" TargetMode="External"/><Relationship Id="rId271" Type="http://schemas.openxmlformats.org/officeDocument/2006/relationships/hyperlink" Target="http://www.swingtime.com.au/" TargetMode="External"/><Relationship Id="rId24" Type="http://schemas.openxmlformats.org/officeDocument/2006/relationships/hyperlink" Target="http://www.stillonemedia.com/" TargetMode="External"/><Relationship Id="rId66" Type="http://schemas.openxmlformats.org/officeDocument/2006/relationships/hyperlink" Target="mailto:andrew@suddenly.com.au" TargetMode="External"/><Relationship Id="rId131" Type="http://schemas.openxmlformats.org/officeDocument/2006/relationships/hyperlink" Target="http://www.nightjar.co/" TargetMode="External"/><Relationship Id="rId327" Type="http://schemas.openxmlformats.org/officeDocument/2006/relationships/hyperlink" Target="https://www.brandalism.com.au/" TargetMode="External"/><Relationship Id="rId369" Type="http://schemas.openxmlformats.org/officeDocument/2006/relationships/hyperlink" Target="https://4bmedia.tv/" TargetMode="External"/><Relationship Id="rId173" Type="http://schemas.openxmlformats.org/officeDocument/2006/relationships/hyperlink" Target="https://wearesocial.com/au/" TargetMode="External"/><Relationship Id="rId229" Type="http://schemas.openxmlformats.org/officeDocument/2006/relationships/hyperlink" Target="mailto:eithne.mcswiney@ghosydney.com" TargetMode="External"/><Relationship Id="rId380" Type="http://schemas.openxmlformats.org/officeDocument/2006/relationships/hyperlink" Target="https://www.definitivegroup.com.au/" TargetMode="External"/><Relationship Id="rId436" Type="http://schemas.openxmlformats.org/officeDocument/2006/relationships/hyperlink" Target="mailto:mark@populares.co" TargetMode="External"/><Relationship Id="rId240" Type="http://schemas.openxmlformats.org/officeDocument/2006/relationships/hyperlink" Target="mailto:monty@noblebrandsworldwide.com" TargetMode="External"/><Relationship Id="rId35" Type="http://schemas.openxmlformats.org/officeDocument/2006/relationships/hyperlink" Target="http://www.cdi-design.com.au/" TargetMode="External"/><Relationship Id="rId77" Type="http://schemas.openxmlformats.org/officeDocument/2006/relationships/hyperlink" Target="https://www.carbon5creative.com.au/" TargetMode="External"/><Relationship Id="rId100" Type="http://schemas.openxmlformats.org/officeDocument/2006/relationships/hyperlink" Target="mailto:sean@designdavey.com.au" TargetMode="External"/><Relationship Id="rId282" Type="http://schemas.openxmlformats.org/officeDocument/2006/relationships/hyperlink" Target="mailto:jade.clark@clemenger.com.au" TargetMode="External"/><Relationship Id="rId338" Type="http://schemas.openxmlformats.org/officeDocument/2006/relationships/hyperlink" Target="https://www.qualie.com/" TargetMode="External"/><Relationship Id="rId8" Type="http://schemas.openxmlformats.org/officeDocument/2006/relationships/hyperlink" Target="http://www.resolvestrategic.com/" TargetMode="External"/><Relationship Id="rId142" Type="http://schemas.openxmlformats.org/officeDocument/2006/relationships/hyperlink" Target="mailto:nathan@pearshop.com.au" TargetMode="External"/><Relationship Id="rId184" Type="http://schemas.openxmlformats.org/officeDocument/2006/relationships/hyperlink" Target="https://lep.digital/" TargetMode="External"/><Relationship Id="rId391" Type="http://schemas.openxmlformats.org/officeDocument/2006/relationships/hyperlink" Target="mailto:mail@designandopinion.com" TargetMode="External"/><Relationship Id="rId405" Type="http://schemas.openxmlformats.org/officeDocument/2006/relationships/hyperlink" Target="mailto:cb@sparro.com.au" TargetMode="External"/><Relationship Id="rId447" Type="http://schemas.openxmlformats.org/officeDocument/2006/relationships/hyperlink" Target="mailto:john@metrographics.com.au" TargetMode="External"/><Relationship Id="rId251" Type="http://schemas.openxmlformats.org/officeDocument/2006/relationships/hyperlink" Target="http://www.momentum2.com.au/" TargetMode="External"/><Relationship Id="rId46" Type="http://schemas.openxmlformats.org/officeDocument/2006/relationships/hyperlink" Target="https://www.wildbeardigital.com.au/" TargetMode="External"/><Relationship Id="rId293" Type="http://schemas.openxmlformats.org/officeDocument/2006/relationships/hyperlink" Target="mailto:Sam@tdirections.com.au" TargetMode="External"/><Relationship Id="rId307" Type="http://schemas.openxmlformats.org/officeDocument/2006/relationships/hyperlink" Target="mailto:graham@designstreet.com.au" TargetMode="External"/><Relationship Id="rId349" Type="http://schemas.openxmlformats.org/officeDocument/2006/relationships/hyperlink" Target="https://www.apostledigital.com/" TargetMode="External"/><Relationship Id="rId88" Type="http://schemas.openxmlformats.org/officeDocument/2006/relationships/hyperlink" Target="mailto:michael@folk.com.au" TargetMode="External"/><Relationship Id="rId111" Type="http://schemas.openxmlformats.org/officeDocument/2006/relationships/hyperlink" Target="http://www.invntgroup.com/" TargetMode="External"/><Relationship Id="rId153" Type="http://schemas.openxmlformats.org/officeDocument/2006/relationships/hyperlink" Target="http://spatialmedia.com.au/" TargetMode="External"/><Relationship Id="rId195" Type="http://schemas.openxmlformats.org/officeDocument/2006/relationships/hyperlink" Target="mailto:intdes@aussiebb.com.au" TargetMode="External"/><Relationship Id="rId209" Type="http://schemas.openxmlformats.org/officeDocument/2006/relationships/hyperlink" Target="http://www.brandmatters.com.au/" TargetMode="External"/><Relationship Id="rId360" Type="http://schemas.openxmlformats.org/officeDocument/2006/relationships/hyperlink" Target="mailto:lucy.billington@mcsaatchi.com.au" TargetMode="External"/><Relationship Id="rId416" Type="http://schemas.openxmlformats.org/officeDocument/2006/relationships/hyperlink" Target="https://www.wedgetailpictures.com/" TargetMode="External"/><Relationship Id="rId220" Type="http://schemas.openxmlformats.org/officeDocument/2006/relationships/hyperlink" Target="mailto:bernadette.barrett@khpl.com.au" TargetMode="External"/><Relationship Id="rId458" Type="http://schemas.openxmlformats.org/officeDocument/2006/relationships/hyperlink" Target="https://www.loteagency.com.au/" TargetMode="External"/><Relationship Id="rId15" Type="http://schemas.openxmlformats.org/officeDocument/2006/relationships/hyperlink" Target="mailto:peter.wilson@catobrandpartners.com" TargetMode="External"/><Relationship Id="rId57" Type="http://schemas.openxmlformats.org/officeDocument/2006/relationships/hyperlink" Target="http://www.mintfilms.com.au/" TargetMode="External"/><Relationship Id="rId262" Type="http://schemas.openxmlformats.org/officeDocument/2006/relationships/hyperlink" Target="mailto:perry@filmconstruction.com" TargetMode="External"/><Relationship Id="rId318" Type="http://schemas.openxmlformats.org/officeDocument/2006/relationships/hyperlink" Target="mailto:david.easton@reborn.co" TargetMode="External"/><Relationship Id="rId99" Type="http://schemas.openxmlformats.org/officeDocument/2006/relationships/hyperlink" Target="https://www.nextandco.com.au/" TargetMode="External"/><Relationship Id="rId122" Type="http://schemas.openxmlformats.org/officeDocument/2006/relationships/hyperlink" Target="mailto:fluffycloudmedia@gmail.com" TargetMode="External"/><Relationship Id="rId164" Type="http://schemas.openxmlformats.org/officeDocument/2006/relationships/hyperlink" Target="mailto:simon.moore@eltonward.com.au" TargetMode="External"/><Relationship Id="rId371" Type="http://schemas.openxmlformats.org/officeDocument/2006/relationships/hyperlink" Target="https://www.summerhill.com.au/" TargetMode="External"/><Relationship Id="rId427" Type="http://schemas.openxmlformats.org/officeDocument/2006/relationships/hyperlink" Target="https://72andsunny.com/" TargetMode="External"/><Relationship Id="rId469" Type="http://schemas.openxmlformats.org/officeDocument/2006/relationships/hyperlink" Target="https://www.campanyandco.com.au/" TargetMode="External"/><Relationship Id="rId26" Type="http://schemas.openxmlformats.org/officeDocument/2006/relationships/hyperlink" Target="https://antelopemedia.com.au/" TargetMode="External"/><Relationship Id="rId231" Type="http://schemas.openxmlformats.org/officeDocument/2006/relationships/hyperlink" Target="http://www.embracesociety.com.au/" TargetMode="External"/><Relationship Id="rId273" Type="http://schemas.openxmlformats.org/officeDocument/2006/relationships/hyperlink" Target="mailto:jojo@hellootto.com.au" TargetMode="External"/><Relationship Id="rId329" Type="http://schemas.openxmlformats.org/officeDocument/2006/relationships/hyperlink" Target="https://nobleagency.com.au/" TargetMode="External"/><Relationship Id="rId68" Type="http://schemas.openxmlformats.org/officeDocument/2006/relationships/hyperlink" Target="mailto:alexandria@thebeinggroup.com" TargetMode="External"/><Relationship Id="rId133" Type="http://schemas.openxmlformats.org/officeDocument/2006/relationships/hyperlink" Target="http://papermonkey.com.au/" TargetMode="External"/><Relationship Id="rId175" Type="http://schemas.openxmlformats.org/officeDocument/2006/relationships/hyperlink" Target="http://www.mccann.com.au/" TargetMode="External"/><Relationship Id="rId340" Type="http://schemas.openxmlformats.org/officeDocument/2006/relationships/hyperlink" Target="mailto:jordan.d@theworksagency.com.au" TargetMode="External"/><Relationship Id="rId200" Type="http://schemas.openxmlformats.org/officeDocument/2006/relationships/hyperlink" Target="http://www.emotive.com.au/" TargetMode="External"/><Relationship Id="rId382" Type="http://schemas.openxmlformats.org/officeDocument/2006/relationships/hyperlink" Target="mailto:hadrien@reefdigital.com.au" TargetMode="External"/><Relationship Id="rId438" Type="http://schemas.openxmlformats.org/officeDocument/2006/relationships/hyperlink" Target="mailto:matt@originalspin.com.au" TargetMode="External"/><Relationship Id="rId242" Type="http://schemas.openxmlformats.org/officeDocument/2006/relationships/hyperlink" Target="mailto:brendan@cooperfilms.net" TargetMode="External"/><Relationship Id="rId284" Type="http://schemas.openxmlformats.org/officeDocument/2006/relationships/hyperlink" Target="mailto:anthony@punchydigitalmedia.com.au" TargetMode="External"/><Relationship Id="rId37" Type="http://schemas.openxmlformats.org/officeDocument/2006/relationships/hyperlink" Target="mailto:michael@5ivesenses.com.au" TargetMode="External"/><Relationship Id="rId79" Type="http://schemas.openxmlformats.org/officeDocument/2006/relationships/hyperlink" Target="mailto:rodrigo@blkfsch.com" TargetMode="External"/><Relationship Id="rId102" Type="http://schemas.openxmlformats.org/officeDocument/2006/relationships/hyperlink" Target="mailto:nick@papermoose.com" TargetMode="External"/><Relationship Id="rId144" Type="http://schemas.openxmlformats.org/officeDocument/2006/relationships/hyperlink" Target="mailto:craig@impressdesign.com.au" TargetMode="External"/><Relationship Id="rId90" Type="http://schemas.openxmlformats.org/officeDocument/2006/relationships/hyperlink" Target="mailto:michael.titshall@rga.com" TargetMode="External"/><Relationship Id="rId186" Type="http://schemas.openxmlformats.org/officeDocument/2006/relationships/hyperlink" Target="http://www.thinksmartmarketing.com.au/" TargetMode="External"/><Relationship Id="rId351" Type="http://schemas.openxmlformats.org/officeDocument/2006/relationships/hyperlink" Target="https://www.wallisgroup.com.au/" TargetMode="External"/><Relationship Id="rId393" Type="http://schemas.openxmlformats.org/officeDocument/2006/relationships/hyperlink" Target="https://www.becausexm.com/" TargetMode="External"/><Relationship Id="rId407" Type="http://schemas.openxmlformats.org/officeDocument/2006/relationships/hyperlink" Target="mailto:ema@new-moon.com" TargetMode="External"/><Relationship Id="rId449" Type="http://schemas.openxmlformats.org/officeDocument/2006/relationships/hyperlink" Target="mailto:andrew@marshlandia.co" TargetMode="External"/><Relationship Id="rId211" Type="http://schemas.openxmlformats.org/officeDocument/2006/relationships/hyperlink" Target="http://www.ideaseed.com.au/" TargetMode="External"/><Relationship Id="rId253" Type="http://schemas.openxmlformats.org/officeDocument/2006/relationships/hyperlink" Target="https://www.cyphainteractive.com.au/" TargetMode="External"/><Relationship Id="rId295" Type="http://schemas.openxmlformats.org/officeDocument/2006/relationships/hyperlink" Target="http://www.april5.com.au/" TargetMode="External"/><Relationship Id="rId309" Type="http://schemas.openxmlformats.org/officeDocument/2006/relationships/hyperlink" Target="mailto:geff@engaging.io" TargetMode="External"/><Relationship Id="rId460" Type="http://schemas.openxmlformats.org/officeDocument/2006/relationships/hyperlink" Target="https://www.ivegroup.com.au/" TargetMode="External"/><Relationship Id="rId48" Type="http://schemas.openxmlformats.org/officeDocument/2006/relationships/hyperlink" Target="http://www.energi.com.au/" TargetMode="External"/><Relationship Id="rId113" Type="http://schemas.openxmlformats.org/officeDocument/2006/relationships/hyperlink" Target="http://www.ddb.com.au/" TargetMode="External"/><Relationship Id="rId320" Type="http://schemas.openxmlformats.org/officeDocument/2006/relationships/hyperlink" Target="mailto:travis@explanimate.com.au" TargetMode="External"/><Relationship Id="rId155" Type="http://schemas.openxmlformats.org/officeDocument/2006/relationships/hyperlink" Target="http://www.analogfolk.com/" TargetMode="External"/><Relationship Id="rId197" Type="http://schemas.openxmlformats.org/officeDocument/2006/relationships/hyperlink" Target="mailto:philippa@chello.com.au" TargetMode="External"/><Relationship Id="rId362" Type="http://schemas.openxmlformats.org/officeDocument/2006/relationships/hyperlink" Target="mailto:julian@melhuishco.com" TargetMode="External"/><Relationship Id="rId418" Type="http://schemas.openxmlformats.org/officeDocument/2006/relationships/hyperlink" Target="https://www.heardagency.com/" TargetMode="External"/><Relationship Id="rId222" Type="http://schemas.openxmlformats.org/officeDocument/2006/relationships/hyperlink" Target="http://www.canvasgroup.com.au/" TargetMode="External"/><Relationship Id="rId264" Type="http://schemas.openxmlformats.org/officeDocument/2006/relationships/hyperlink" Target="http://www.thedubs.com/" TargetMode="External"/><Relationship Id="rId471" Type="http://schemas.openxmlformats.org/officeDocument/2006/relationships/printerSettings" Target="../printerSettings/printerSettings1.bin"/><Relationship Id="rId17" Type="http://schemas.openxmlformats.org/officeDocument/2006/relationships/hyperlink" Target="mailto:chris@immediate.net.au" TargetMode="External"/><Relationship Id="rId59" Type="http://schemas.openxmlformats.org/officeDocument/2006/relationships/hyperlink" Target="http://goodchat.tv/" TargetMode="External"/><Relationship Id="rId124" Type="http://schemas.openxmlformats.org/officeDocument/2006/relationships/hyperlink" Target="mailto:john@bergefarrell.com" TargetMode="External"/><Relationship Id="rId70" Type="http://schemas.openxmlformats.org/officeDocument/2006/relationships/hyperlink" Target="mailto:helen@sixblackpens.com" TargetMode="External"/><Relationship Id="rId166" Type="http://schemas.openxmlformats.org/officeDocument/2006/relationships/hyperlink" Target="mailto:richard@kingcreatives.com.au" TargetMode="External"/><Relationship Id="rId331" Type="http://schemas.openxmlformats.org/officeDocument/2006/relationships/hyperlink" Target="mailto:damien@newcast.com.au" TargetMode="External"/><Relationship Id="rId373" Type="http://schemas.openxmlformats.org/officeDocument/2006/relationships/hyperlink" Target="https://www.wearebetter.com.au/" TargetMode="External"/><Relationship Id="rId429" Type="http://schemas.openxmlformats.org/officeDocument/2006/relationships/hyperlink" Target="https://vrty.io/" TargetMode="External"/><Relationship Id="rId1" Type="http://schemas.openxmlformats.org/officeDocument/2006/relationships/hyperlink" Target="mailto:rich@theideashed.com" TargetMode="External"/><Relationship Id="rId233" Type="http://schemas.openxmlformats.org/officeDocument/2006/relationships/hyperlink" Target="http://www.hoyne.com.au/" TargetMode="External"/><Relationship Id="rId440" Type="http://schemas.openxmlformats.org/officeDocument/2006/relationships/hyperlink" Target="mailto:colin.fairley@groundagency.com" TargetMode="External"/><Relationship Id="rId28" Type="http://schemas.openxmlformats.org/officeDocument/2006/relationships/hyperlink" Target="https://enginegroup.com/apac/" TargetMode="External"/><Relationship Id="rId275" Type="http://schemas.openxmlformats.org/officeDocument/2006/relationships/hyperlink" Target="http://www.uncappedcreative.com.au/" TargetMode="External"/><Relationship Id="rId300" Type="http://schemas.openxmlformats.org/officeDocument/2006/relationships/hyperlink" Target="https://www.thebrandpool.com.au/" TargetMode="External"/><Relationship Id="rId81" Type="http://schemas.openxmlformats.org/officeDocument/2006/relationships/hyperlink" Target="http://www.informationaccessgroup.com/" TargetMode="External"/><Relationship Id="rId135" Type="http://schemas.openxmlformats.org/officeDocument/2006/relationships/hyperlink" Target="http://jimjamideas.com/" TargetMode="External"/><Relationship Id="rId177" Type="http://schemas.openxmlformats.org/officeDocument/2006/relationships/hyperlink" Target="https://percept.com.au/" TargetMode="External"/><Relationship Id="rId342" Type="http://schemas.openxmlformats.org/officeDocument/2006/relationships/hyperlink" Target="mailto:lisak@l-ldesign.com.au" TargetMode="External"/><Relationship Id="rId384" Type="http://schemas.openxmlformats.org/officeDocument/2006/relationships/hyperlink" Target="https://numeralcreative.com/" TargetMode="External"/><Relationship Id="rId202" Type="http://schemas.openxmlformats.org/officeDocument/2006/relationships/hyperlink" Target="mailto:geoff@passionberrymarketing.com" TargetMode="External"/><Relationship Id="rId244" Type="http://schemas.openxmlformats.org/officeDocument/2006/relationships/hyperlink" Target="mailto:lorraine@loud.com.au" TargetMode="External"/><Relationship Id="rId39" Type="http://schemas.openxmlformats.org/officeDocument/2006/relationships/hyperlink" Target="mailto:steve@anothercolour.com.au" TargetMode="External"/><Relationship Id="rId286" Type="http://schemas.openxmlformats.org/officeDocument/2006/relationships/hyperlink" Target="mailto:srennie@we-worldwide.com" TargetMode="External"/><Relationship Id="rId451" Type="http://schemas.openxmlformats.org/officeDocument/2006/relationships/hyperlink" Target="mailto:mariam@boko.com.au" TargetMode="External"/><Relationship Id="rId50" Type="http://schemas.openxmlformats.org/officeDocument/2006/relationships/hyperlink" Target="http://www.contentark.com.au/" TargetMode="External"/><Relationship Id="rId104" Type="http://schemas.openxmlformats.org/officeDocument/2006/relationships/hyperlink" Target="mailto:hello@goodsong.com.au" TargetMode="External"/><Relationship Id="rId146" Type="http://schemas.openxmlformats.org/officeDocument/2006/relationships/hyperlink" Target="mailto:luke@yango.com.au" TargetMode="External"/><Relationship Id="rId188" Type="http://schemas.openxmlformats.org/officeDocument/2006/relationships/hyperlink" Target="https://etcom.com.au/" TargetMode="External"/><Relationship Id="rId311" Type="http://schemas.openxmlformats.org/officeDocument/2006/relationships/hyperlink" Target="mailto:joe@magpiecreative.com.au" TargetMode="External"/><Relationship Id="rId353" Type="http://schemas.openxmlformats.org/officeDocument/2006/relationships/hyperlink" Target="mailto:zac.bruckner@capstoneediting.com.au" TargetMode="External"/><Relationship Id="rId395" Type="http://schemas.openxmlformats.org/officeDocument/2006/relationships/hyperlink" Target="mailto:claire.thompson@saatchi.com.au" TargetMode="External"/><Relationship Id="rId409" Type="http://schemas.openxmlformats.org/officeDocument/2006/relationships/hyperlink" Target="mailto:ruth@89degreeseast.com" TargetMode="External"/><Relationship Id="rId92" Type="http://schemas.openxmlformats.org/officeDocument/2006/relationships/hyperlink" Target="mailto:ICCtenders@rpsgroup.com.au" TargetMode="External"/><Relationship Id="rId213" Type="http://schemas.openxmlformats.org/officeDocument/2006/relationships/hyperlink" Target="https://www.hardedge.com.au/" TargetMode="External"/><Relationship Id="rId420" Type="http://schemas.openxmlformats.org/officeDocument/2006/relationships/hyperlink" Target="https://wethepeople.com.au/" TargetMode="External"/><Relationship Id="rId255" Type="http://schemas.openxmlformats.org/officeDocument/2006/relationships/hyperlink" Target="http://sweetmanand.co/" TargetMode="External"/><Relationship Id="rId297" Type="http://schemas.openxmlformats.org/officeDocument/2006/relationships/hyperlink" Target="mailto:liz@hoopgroup.com.au" TargetMode="External"/><Relationship Id="rId462" Type="http://schemas.openxmlformats.org/officeDocument/2006/relationships/hyperlink" Target="mailto:info@blackrhinocreative.com.au" TargetMode="External"/><Relationship Id="rId115" Type="http://schemas.openxmlformats.org/officeDocument/2006/relationships/hyperlink" Target="http://artofmultimedia.com.au/" TargetMode="External"/><Relationship Id="rId157" Type="http://schemas.openxmlformats.org/officeDocument/2006/relationships/hyperlink" Target="http://www.foundatsea.co/" TargetMode="External"/><Relationship Id="rId322" Type="http://schemas.openxmlformats.org/officeDocument/2006/relationships/hyperlink" Target="mailto:ash@audienceproductions.com" TargetMode="External"/><Relationship Id="rId364" Type="http://schemas.openxmlformats.org/officeDocument/2006/relationships/hyperlink" Target="https://struber.com.au/" TargetMode="External"/><Relationship Id="rId61" Type="http://schemas.openxmlformats.org/officeDocument/2006/relationships/hyperlink" Target="http://www.archibaldwilliams.com/" TargetMode="External"/><Relationship Id="rId199" Type="http://schemas.openxmlformats.org/officeDocument/2006/relationships/hyperlink" Target="mailto:annaburch@emotive.com.au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nowscreen.com/" TargetMode="External"/><Relationship Id="rId299" Type="http://schemas.openxmlformats.org/officeDocument/2006/relationships/hyperlink" Target="mailto:lynn@thebrandpool.com.au" TargetMode="External"/><Relationship Id="rId21" Type="http://schemas.openxmlformats.org/officeDocument/2006/relationships/hyperlink" Target="mailto:rchristie@propelgroup.com.au" TargetMode="External"/><Relationship Id="rId63" Type="http://schemas.openxmlformats.org/officeDocument/2006/relationships/hyperlink" Target="mailto:jeff@clearconcept.com.au" TargetMode="External"/><Relationship Id="rId159" Type="http://schemas.openxmlformats.org/officeDocument/2006/relationships/hyperlink" Target="http://www.focuscreative.com.au/" TargetMode="External"/><Relationship Id="rId324" Type="http://schemas.openxmlformats.org/officeDocument/2006/relationships/hyperlink" Target="mailto:damian@inception.clinic" TargetMode="External"/><Relationship Id="rId366" Type="http://schemas.openxmlformats.org/officeDocument/2006/relationships/hyperlink" Target="https://www.circusgroup.com/" TargetMode="External"/><Relationship Id="rId170" Type="http://schemas.openxmlformats.org/officeDocument/2006/relationships/hyperlink" Target="mailto:james@commonv.com.au" TargetMode="External"/><Relationship Id="rId226" Type="http://schemas.openxmlformats.org/officeDocument/2006/relationships/hyperlink" Target="mailto:georgia.suttie@bmf.com.au" TargetMode="External"/><Relationship Id="rId433" Type="http://schemas.openxmlformats.org/officeDocument/2006/relationships/hyperlink" Target="mailto:adam.powell@90seconds.com" TargetMode="External"/><Relationship Id="rId268" Type="http://schemas.openxmlformats.org/officeDocument/2006/relationships/hyperlink" Target="mailto:paige@keyyproductions.com" TargetMode="External"/><Relationship Id="rId32" Type="http://schemas.openxmlformats.org/officeDocument/2006/relationships/hyperlink" Target="mailto:alexandra@laundrylane.com" TargetMode="External"/><Relationship Id="rId74" Type="http://schemas.openxmlformats.org/officeDocument/2006/relationships/hyperlink" Target="mailto:laura.aldington@hosthavas.com" TargetMode="External"/><Relationship Id="rId128" Type="http://schemas.openxmlformats.org/officeDocument/2006/relationships/hyperlink" Target="https://tinyhunter.com.au/corp-gov-showcase/" TargetMode="External"/><Relationship Id="rId335" Type="http://schemas.openxmlformats.org/officeDocument/2006/relationships/hyperlink" Target="mailto:alexc@banjo.com.au" TargetMode="External"/><Relationship Id="rId377" Type="http://schemas.openxmlformats.org/officeDocument/2006/relationships/hyperlink" Target="mailto:jessy@brandergy.com.au" TargetMode="External"/><Relationship Id="rId5" Type="http://schemas.openxmlformats.org/officeDocument/2006/relationships/hyperlink" Target="mailto:nicholas@am-i.com.au" TargetMode="External"/><Relationship Id="rId181" Type="http://schemas.openxmlformats.org/officeDocument/2006/relationships/hyperlink" Target="mailto:cmarks@maverick.com.au" TargetMode="External"/><Relationship Id="rId237" Type="http://schemas.openxmlformats.org/officeDocument/2006/relationships/hyperlink" Target="http://hinterlands.com.au/" TargetMode="External"/><Relationship Id="rId402" Type="http://schemas.openxmlformats.org/officeDocument/2006/relationships/hyperlink" Target="mailto:pete@ravel.com.au" TargetMode="External"/><Relationship Id="rId279" Type="http://schemas.openxmlformats.org/officeDocument/2006/relationships/hyperlink" Target="https://elasticstudios.com.au/" TargetMode="External"/><Relationship Id="rId444" Type="http://schemas.openxmlformats.org/officeDocument/2006/relationships/hyperlink" Target="https://www.globalpictures.com.au/" TargetMode="External"/><Relationship Id="rId43" Type="http://schemas.openxmlformats.org/officeDocument/2006/relationships/hyperlink" Target="mailto:costa.vasili@ethnolink.com.au" TargetMode="External"/><Relationship Id="rId139" Type="http://schemas.openxmlformats.org/officeDocument/2006/relationships/hyperlink" Target="https://iconagency.com.au/" TargetMode="External"/><Relationship Id="rId290" Type="http://schemas.openxmlformats.org/officeDocument/2006/relationships/hyperlink" Target="mailto:rowan.j@brandexpression.com.au" TargetMode="External"/><Relationship Id="rId304" Type="http://schemas.openxmlformats.org/officeDocument/2006/relationships/hyperlink" Target="https://www.ogilvy.com.au/" TargetMode="External"/><Relationship Id="rId346" Type="http://schemas.openxmlformats.org/officeDocument/2006/relationships/hyperlink" Target="https://www.greaterleads.com/" TargetMode="External"/><Relationship Id="rId388" Type="http://schemas.openxmlformats.org/officeDocument/2006/relationships/hyperlink" Target="mailto:jason@movedbydesign.com.au" TargetMode="External"/><Relationship Id="rId85" Type="http://schemas.openxmlformats.org/officeDocument/2006/relationships/hyperlink" Target="https://www.milkmoney.tv/" TargetMode="External"/><Relationship Id="rId150" Type="http://schemas.openxmlformats.org/officeDocument/2006/relationships/hyperlink" Target="mailto:alester@rocketagency.com.au" TargetMode="External"/><Relationship Id="rId192" Type="http://schemas.openxmlformats.org/officeDocument/2006/relationships/hyperlink" Target="http://bruce@illidgecreative.com.au" TargetMode="External"/><Relationship Id="rId206" Type="http://schemas.openxmlformats.org/officeDocument/2006/relationships/hyperlink" Target="mailto:samara@houseofkitch.com.au" TargetMode="External"/><Relationship Id="rId413" Type="http://schemas.openxmlformats.org/officeDocument/2006/relationships/hyperlink" Target="https://esemprojects.com/" TargetMode="External"/><Relationship Id="rId248" Type="http://schemas.openxmlformats.org/officeDocument/2006/relationships/hyperlink" Target="mailto:dave@twostory.com.au" TargetMode="External"/><Relationship Id="rId455" Type="http://schemas.openxmlformats.org/officeDocument/2006/relationships/hyperlink" Target="https://www.kinshipdigital.com/" TargetMode="External"/><Relationship Id="rId12" Type="http://schemas.openxmlformats.org/officeDocument/2006/relationships/hyperlink" Target="http://www.brandfaction.com.au/" TargetMode="External"/><Relationship Id="rId108" Type="http://schemas.openxmlformats.org/officeDocument/2006/relationships/hyperlink" Target="mailto:ben.x.allen@nielsen.com" TargetMode="External"/><Relationship Id="rId315" Type="http://schemas.openxmlformats.org/officeDocument/2006/relationships/hyperlink" Target="https://actualisedesign.com/" TargetMode="External"/><Relationship Id="rId357" Type="http://schemas.openxmlformats.org/officeDocument/2006/relationships/hyperlink" Target="mailto:tom@connectingplots.com" TargetMode="External"/><Relationship Id="rId54" Type="http://schemas.openxmlformats.org/officeDocument/2006/relationships/hyperlink" Target="mailto:stuart@houstongroup.com.au" TargetMode="External"/><Relationship Id="rId96" Type="http://schemas.openxmlformats.org/officeDocument/2006/relationships/hyperlink" Target="mailto:sharon@agent99pr.com" TargetMode="External"/><Relationship Id="rId161" Type="http://schemas.openxmlformats.org/officeDocument/2006/relationships/hyperlink" Target="http://www.annazhu.com/" TargetMode="External"/><Relationship Id="rId217" Type="http://schemas.openxmlformats.org/officeDocument/2006/relationships/hyperlink" Target="http://www.porternovelli.com.au/" TargetMode="External"/><Relationship Id="rId399" Type="http://schemas.openxmlformats.org/officeDocument/2006/relationships/hyperlink" Target="mailto:thang.ngo@identitycomms.com.au" TargetMode="External"/><Relationship Id="rId259" Type="http://schemas.openxmlformats.org/officeDocument/2006/relationships/hyperlink" Target="http://www.radicalorange.tv/" TargetMode="External"/><Relationship Id="rId424" Type="http://schemas.openxmlformats.org/officeDocument/2006/relationships/hyperlink" Target="mailto:rupert@eux.com.au" TargetMode="External"/><Relationship Id="rId466" Type="http://schemas.openxmlformats.org/officeDocument/2006/relationships/hyperlink" Target="https://kgmdesign.com.au/" TargetMode="External"/><Relationship Id="rId23" Type="http://schemas.openxmlformats.org/officeDocument/2006/relationships/hyperlink" Target="mailto:joel@stillonemedia.com" TargetMode="External"/><Relationship Id="rId119" Type="http://schemas.openxmlformats.org/officeDocument/2006/relationships/hyperlink" Target="mailto:roland@urbanactive.com.au" TargetMode="External"/><Relationship Id="rId270" Type="http://schemas.openxmlformats.org/officeDocument/2006/relationships/hyperlink" Target="mailto:kate@swingtime.com.au" TargetMode="External"/><Relationship Id="rId326" Type="http://schemas.openxmlformats.org/officeDocument/2006/relationships/hyperlink" Target="mailto:tracy@brandalism.com.au" TargetMode="External"/><Relationship Id="rId65" Type="http://schemas.openxmlformats.org/officeDocument/2006/relationships/hyperlink" Target="http://www.reddoorproduction.com.au/" TargetMode="External"/><Relationship Id="rId130" Type="http://schemas.openxmlformats.org/officeDocument/2006/relationships/hyperlink" Target="mailto:christine@nightjar.co" TargetMode="External"/><Relationship Id="rId368" Type="http://schemas.openxmlformats.org/officeDocument/2006/relationships/hyperlink" Target="https://rowland.com.au/" TargetMode="External"/><Relationship Id="rId172" Type="http://schemas.openxmlformats.org/officeDocument/2006/relationships/hyperlink" Target="mailto:cristina.forlani@wearesocial.net" TargetMode="External"/><Relationship Id="rId228" Type="http://schemas.openxmlformats.org/officeDocument/2006/relationships/hyperlink" Target="http://www.ghosydney.com/" TargetMode="External"/><Relationship Id="rId435" Type="http://schemas.openxmlformats.org/officeDocument/2006/relationships/hyperlink" Target="mailto:samanthashilton@gmail.com" TargetMode="External"/><Relationship Id="rId281" Type="http://schemas.openxmlformats.org/officeDocument/2006/relationships/hyperlink" Target="https://www.digagency.com.au/" TargetMode="External"/><Relationship Id="rId337" Type="http://schemas.openxmlformats.org/officeDocument/2006/relationships/hyperlink" Target="mailto:ainslie.williams@qualie.com" TargetMode="External"/><Relationship Id="rId34" Type="http://schemas.openxmlformats.org/officeDocument/2006/relationships/hyperlink" Target="mailto:mark@cdi-design.com.au" TargetMode="External"/><Relationship Id="rId76" Type="http://schemas.openxmlformats.org/officeDocument/2006/relationships/hyperlink" Target="mailto:paul@carbon5.com.au" TargetMode="External"/><Relationship Id="rId141" Type="http://schemas.openxmlformats.org/officeDocument/2006/relationships/hyperlink" Target="http://messy.com.au/" TargetMode="External"/><Relationship Id="rId379" Type="http://schemas.openxmlformats.org/officeDocument/2006/relationships/hyperlink" Target="https://marzipanmedia.com.au/" TargetMode="External"/><Relationship Id="rId7" Type="http://schemas.openxmlformats.org/officeDocument/2006/relationships/hyperlink" Target="mailto:jim.reed@resolvestrategic.com" TargetMode="External"/><Relationship Id="rId183" Type="http://schemas.openxmlformats.org/officeDocument/2006/relationships/hyperlink" Target="mailto:laura@lep.digital" TargetMode="External"/><Relationship Id="rId239" Type="http://schemas.openxmlformats.org/officeDocument/2006/relationships/hyperlink" Target="https://www.affinity.ad/" TargetMode="External"/><Relationship Id="rId390" Type="http://schemas.openxmlformats.org/officeDocument/2006/relationships/hyperlink" Target="mailto:clare.v@upsidedown.com.au" TargetMode="External"/><Relationship Id="rId404" Type="http://schemas.openxmlformats.org/officeDocument/2006/relationships/hyperlink" Target="mailto:david@cultureshock.marketing" TargetMode="External"/><Relationship Id="rId446" Type="http://schemas.openxmlformats.org/officeDocument/2006/relationships/hyperlink" Target="https://www.havasgroup.com.au/" TargetMode="External"/><Relationship Id="rId250" Type="http://schemas.openxmlformats.org/officeDocument/2006/relationships/hyperlink" Target="mailto:ltuit@momentum2.com.au" TargetMode="External"/><Relationship Id="rId292" Type="http://schemas.openxmlformats.org/officeDocument/2006/relationships/hyperlink" Target="https://www.tdirections.com.au/" TargetMode="External"/><Relationship Id="rId306" Type="http://schemas.openxmlformats.org/officeDocument/2006/relationships/hyperlink" Target="https://www.daveclarkdesign.com/" TargetMode="External"/><Relationship Id="rId45" Type="http://schemas.openxmlformats.org/officeDocument/2006/relationships/hyperlink" Target="mailto:jeremy.flynn@wildbear.tv" TargetMode="External"/><Relationship Id="rId87" Type="http://schemas.openxmlformats.org/officeDocument/2006/relationships/hyperlink" Target="http://www.juntosmarketing.com.au/" TargetMode="External"/><Relationship Id="rId110" Type="http://schemas.openxmlformats.org/officeDocument/2006/relationships/hyperlink" Target="mailto:lroberts@invnt.com" TargetMode="External"/><Relationship Id="rId348" Type="http://schemas.openxmlformats.org/officeDocument/2006/relationships/hyperlink" Target="mailto:tim@apostledigital.com" TargetMode="External"/><Relationship Id="rId152" Type="http://schemas.openxmlformats.org/officeDocument/2006/relationships/hyperlink" Target="mailto:dan@spatialmedia.com.au" TargetMode="External"/><Relationship Id="rId194" Type="http://schemas.openxmlformats.org/officeDocument/2006/relationships/hyperlink" Target="http://www.wewonder.com.au/" TargetMode="External"/><Relationship Id="rId208" Type="http://schemas.openxmlformats.org/officeDocument/2006/relationships/hyperlink" Target="mailto:info@brandmatters.com.au" TargetMode="External"/><Relationship Id="rId415" Type="http://schemas.openxmlformats.org/officeDocument/2006/relationships/hyperlink" Target="https://proactivegraphics.com.au/" TargetMode="External"/><Relationship Id="rId457" Type="http://schemas.openxmlformats.org/officeDocument/2006/relationships/hyperlink" Target="https://www.imab2b.com/" TargetMode="External"/><Relationship Id="rId261" Type="http://schemas.openxmlformats.org/officeDocument/2006/relationships/hyperlink" Target="http://www.editorgroup.com/" TargetMode="External"/><Relationship Id="rId14" Type="http://schemas.openxmlformats.org/officeDocument/2006/relationships/hyperlink" Target="mailto:georgia@33creative.com.au" TargetMode="External"/><Relationship Id="rId56" Type="http://schemas.openxmlformats.org/officeDocument/2006/relationships/hyperlink" Target="mailto:nick@mintfilms.com.au" TargetMode="External"/><Relationship Id="rId317" Type="http://schemas.openxmlformats.org/officeDocument/2006/relationships/hyperlink" Target="https://www.gutscreative.com.au/" TargetMode="External"/><Relationship Id="rId359" Type="http://schemas.openxmlformats.org/officeDocument/2006/relationships/hyperlink" Target="https://www.melhuishco.com/" TargetMode="External"/><Relationship Id="rId98" Type="http://schemas.openxmlformats.org/officeDocument/2006/relationships/hyperlink" Target="mailto:john@nextandco.com.au" TargetMode="External"/><Relationship Id="rId121" Type="http://schemas.openxmlformats.org/officeDocument/2006/relationships/hyperlink" Target="http://www.reelstory.co/" TargetMode="External"/><Relationship Id="rId163" Type="http://schemas.openxmlformats.org/officeDocument/2006/relationships/hyperlink" Target="http://www.limelightcreativemedia.com.au/" TargetMode="External"/><Relationship Id="rId219" Type="http://schemas.openxmlformats.org/officeDocument/2006/relationships/hyperlink" Target="http://www.addiestudio.com/" TargetMode="External"/><Relationship Id="rId370" Type="http://schemas.openxmlformats.org/officeDocument/2006/relationships/hyperlink" Target="https://4bmedia.tv/" TargetMode="External"/><Relationship Id="rId426" Type="http://schemas.openxmlformats.org/officeDocument/2006/relationships/hyperlink" Target="https://www.primarycommsgroup.com.au/" TargetMode="External"/><Relationship Id="rId230" Type="http://schemas.openxmlformats.org/officeDocument/2006/relationships/hyperlink" Target="mailto:paula@embracesociety.com.au" TargetMode="External"/><Relationship Id="rId25" Type="http://schemas.openxmlformats.org/officeDocument/2006/relationships/hyperlink" Target="mailto:ralph@antelopemedia.com.au" TargetMode="External"/><Relationship Id="rId67" Type="http://schemas.openxmlformats.org/officeDocument/2006/relationships/hyperlink" Target="https://www.suddenly.com.au/" TargetMode="External"/><Relationship Id="rId272" Type="http://schemas.openxmlformats.org/officeDocument/2006/relationships/hyperlink" Target="http://hellootto.com.au/" TargetMode="External"/><Relationship Id="rId328" Type="http://schemas.openxmlformats.org/officeDocument/2006/relationships/hyperlink" Target="mailto:ben@nobleagency.com.au" TargetMode="External"/><Relationship Id="rId132" Type="http://schemas.openxmlformats.org/officeDocument/2006/relationships/hyperlink" Target="mailto:ben@papermonkey.com.au" TargetMode="External"/><Relationship Id="rId174" Type="http://schemas.openxmlformats.org/officeDocument/2006/relationships/hyperlink" Target="mailto:simon.gawn@mccann.com.au" TargetMode="External"/><Relationship Id="rId381" Type="http://schemas.openxmlformats.org/officeDocument/2006/relationships/hyperlink" Target="https://www.definitivegroup.com.au/" TargetMode="External"/><Relationship Id="rId241" Type="http://schemas.openxmlformats.org/officeDocument/2006/relationships/hyperlink" Target="http://www.noblebrandsworldwide.com/" TargetMode="External"/><Relationship Id="rId437" Type="http://schemas.openxmlformats.org/officeDocument/2006/relationships/hyperlink" Target="mailto:mark@populares.co" TargetMode="External"/><Relationship Id="rId36" Type="http://schemas.openxmlformats.org/officeDocument/2006/relationships/hyperlink" Target="http://www.frescocreative.com.au/" TargetMode="External"/><Relationship Id="rId283" Type="http://schemas.openxmlformats.org/officeDocument/2006/relationships/hyperlink" Target="http://clemengerbbdo.com.au/en" TargetMode="External"/><Relationship Id="rId339" Type="http://schemas.openxmlformats.org/officeDocument/2006/relationships/hyperlink" Target="mailto:margiereid@thinkerbell.com" TargetMode="External"/><Relationship Id="rId78" Type="http://schemas.openxmlformats.org/officeDocument/2006/relationships/hyperlink" Target="http://www.blkfsch.com/" TargetMode="External"/><Relationship Id="rId101" Type="http://schemas.openxmlformats.org/officeDocument/2006/relationships/hyperlink" Target="http://designdavey.com.au/" TargetMode="External"/><Relationship Id="rId143" Type="http://schemas.openxmlformats.org/officeDocument/2006/relationships/hyperlink" Target="http://www.pearshop.com.au/" TargetMode="External"/><Relationship Id="rId185" Type="http://schemas.openxmlformats.org/officeDocument/2006/relationships/hyperlink" Target="mailto:janine@thinksmartmarketing.com.au" TargetMode="External"/><Relationship Id="rId350" Type="http://schemas.openxmlformats.org/officeDocument/2006/relationships/hyperlink" Target="mailto:tenders@wallisgroup.com.au" TargetMode="External"/><Relationship Id="rId406" Type="http://schemas.openxmlformats.org/officeDocument/2006/relationships/hyperlink" Target="mailto:cb@sparro.com.au" TargetMode="External"/><Relationship Id="rId9" Type="http://schemas.openxmlformats.org/officeDocument/2006/relationships/hyperlink" Target="mailto:info@aenima.com.au" TargetMode="External"/><Relationship Id="rId210" Type="http://schemas.openxmlformats.org/officeDocument/2006/relationships/hyperlink" Target="mailto:georgie@ideaseed.com.au" TargetMode="External"/><Relationship Id="rId392" Type="http://schemas.openxmlformats.org/officeDocument/2006/relationships/hyperlink" Target="mailto:mail@designandopinion.com" TargetMode="External"/><Relationship Id="rId448" Type="http://schemas.openxmlformats.org/officeDocument/2006/relationships/hyperlink" Target="mailto:john@metrographics.com.au" TargetMode="External"/><Relationship Id="rId252" Type="http://schemas.openxmlformats.org/officeDocument/2006/relationships/hyperlink" Target="mailto:daniel@wearecypha.com.au" TargetMode="External"/><Relationship Id="rId294" Type="http://schemas.openxmlformats.org/officeDocument/2006/relationships/hyperlink" Target="http://www.adrenalinmedia.com.au/" TargetMode="External"/><Relationship Id="rId308" Type="http://schemas.openxmlformats.org/officeDocument/2006/relationships/hyperlink" Target="https://www.designstreet.com.au/" TargetMode="External"/><Relationship Id="rId47" Type="http://schemas.openxmlformats.org/officeDocument/2006/relationships/hyperlink" Target="mailto:ahosie@energi.com.au" TargetMode="External"/><Relationship Id="rId89" Type="http://schemas.openxmlformats.org/officeDocument/2006/relationships/hyperlink" Target="http://www.folk.com.au/" TargetMode="External"/><Relationship Id="rId112" Type="http://schemas.openxmlformats.org/officeDocument/2006/relationships/hyperlink" Target="mailto:brittney.rigby@syd.ddb.com" TargetMode="External"/><Relationship Id="rId154" Type="http://schemas.openxmlformats.org/officeDocument/2006/relationships/hyperlink" Target="mailto:matt.robinson@analogfolk.com" TargetMode="External"/><Relationship Id="rId361" Type="http://schemas.openxmlformats.org/officeDocument/2006/relationships/hyperlink" Target="mailto:connect@struber.com.au" TargetMode="External"/><Relationship Id="rId196" Type="http://schemas.openxmlformats.org/officeDocument/2006/relationships/hyperlink" Target="http://www.integraldesign.com.au/" TargetMode="External"/><Relationship Id="rId417" Type="http://schemas.openxmlformats.org/officeDocument/2006/relationships/hyperlink" Target="https://www.wedgetailpictures.com/" TargetMode="External"/><Relationship Id="rId459" Type="http://schemas.openxmlformats.org/officeDocument/2006/relationships/hyperlink" Target="https://www.loteagency.com.au/" TargetMode="External"/><Relationship Id="rId16" Type="http://schemas.openxmlformats.org/officeDocument/2006/relationships/hyperlink" Target="http://www.catobrandpartners.com/" TargetMode="External"/><Relationship Id="rId221" Type="http://schemas.openxmlformats.org/officeDocument/2006/relationships/hyperlink" Target="http://www.kazbarcreative.com.au/" TargetMode="External"/><Relationship Id="rId263" Type="http://schemas.openxmlformats.org/officeDocument/2006/relationships/hyperlink" Target="http://www.filmconstruction.com/" TargetMode="External"/><Relationship Id="rId319" Type="http://schemas.openxmlformats.org/officeDocument/2006/relationships/hyperlink" Target="https://www.reborn.co/" TargetMode="External"/><Relationship Id="rId58" Type="http://schemas.openxmlformats.org/officeDocument/2006/relationships/hyperlink" Target="mailto:tom@goodchat.tv" TargetMode="External"/><Relationship Id="rId123" Type="http://schemas.openxmlformats.org/officeDocument/2006/relationships/hyperlink" Target="http://www.fluffycloudmedia.com.au/" TargetMode="External"/><Relationship Id="rId330" Type="http://schemas.openxmlformats.org/officeDocument/2006/relationships/hyperlink" Target="https://www.caravel.co/" TargetMode="External"/><Relationship Id="rId165" Type="http://schemas.openxmlformats.org/officeDocument/2006/relationships/hyperlink" Target="http://www.eltonward.com.au/" TargetMode="External"/><Relationship Id="rId372" Type="http://schemas.openxmlformats.org/officeDocument/2006/relationships/hyperlink" Target="https://www.summerhill.com.au/" TargetMode="External"/><Relationship Id="rId428" Type="http://schemas.openxmlformats.org/officeDocument/2006/relationships/hyperlink" Target="https://72andsunny.com/" TargetMode="External"/><Relationship Id="rId232" Type="http://schemas.openxmlformats.org/officeDocument/2006/relationships/hyperlink" Target="mailto:jhume@hoyne.com.au" TargetMode="External"/><Relationship Id="rId274" Type="http://schemas.openxmlformats.org/officeDocument/2006/relationships/hyperlink" Target="mailto:rod@uncappedcreative.com.au" TargetMode="External"/><Relationship Id="rId27" Type="http://schemas.openxmlformats.org/officeDocument/2006/relationships/hyperlink" Target="mailto:EngineAPAC@EngineGroup.com" TargetMode="External"/><Relationship Id="rId69" Type="http://schemas.openxmlformats.org/officeDocument/2006/relationships/hyperlink" Target="https://thebeingagency.com/" TargetMode="External"/><Relationship Id="rId134" Type="http://schemas.openxmlformats.org/officeDocument/2006/relationships/hyperlink" Target="mailto:charlie@jimjamideas.com" TargetMode="External"/><Relationship Id="rId80" Type="http://schemas.openxmlformats.org/officeDocument/2006/relationships/hyperlink" Target="mailto:tenders@informationaccessgroup.com" TargetMode="External"/><Relationship Id="rId176" Type="http://schemas.openxmlformats.org/officeDocument/2006/relationships/hyperlink" Target="mailto:lewis@percept.com.au" TargetMode="External"/><Relationship Id="rId341" Type="http://schemas.openxmlformats.org/officeDocument/2006/relationships/hyperlink" Target="https://www.theworksagency.com.au/" TargetMode="External"/><Relationship Id="rId383" Type="http://schemas.openxmlformats.org/officeDocument/2006/relationships/hyperlink" Target="mailto:hadrien@reefdigital.com.au" TargetMode="External"/><Relationship Id="rId439" Type="http://schemas.openxmlformats.org/officeDocument/2006/relationships/hyperlink" Target="mailto:matt@originalspin.com.au" TargetMode="External"/><Relationship Id="rId201" Type="http://schemas.openxmlformats.org/officeDocument/2006/relationships/hyperlink" Target="mailto:damian@forthepeople.agency" TargetMode="External"/><Relationship Id="rId243" Type="http://schemas.openxmlformats.org/officeDocument/2006/relationships/hyperlink" Target="http://www.cooperfilms.net/" TargetMode="External"/><Relationship Id="rId285" Type="http://schemas.openxmlformats.org/officeDocument/2006/relationships/hyperlink" Target="http://www.punchydigitalmedia.com.au/" TargetMode="External"/><Relationship Id="rId450" Type="http://schemas.openxmlformats.org/officeDocument/2006/relationships/hyperlink" Target="mailto:andrew@marshlandia.co" TargetMode="External"/><Relationship Id="rId38" Type="http://schemas.openxmlformats.org/officeDocument/2006/relationships/hyperlink" Target="http://www.5ivesenses.com.au/" TargetMode="External"/><Relationship Id="rId103" Type="http://schemas.openxmlformats.org/officeDocument/2006/relationships/hyperlink" Target="http://papermoose.com/" TargetMode="External"/><Relationship Id="rId310" Type="http://schemas.openxmlformats.org/officeDocument/2006/relationships/hyperlink" Target="https://www.engaging.io/" TargetMode="External"/><Relationship Id="rId91" Type="http://schemas.openxmlformats.org/officeDocument/2006/relationships/hyperlink" Target="https://www.rga.com/offices/sydney" TargetMode="External"/><Relationship Id="rId145" Type="http://schemas.openxmlformats.org/officeDocument/2006/relationships/hyperlink" Target="http://impressdesign.com.au/" TargetMode="External"/><Relationship Id="rId187" Type="http://schemas.openxmlformats.org/officeDocument/2006/relationships/hyperlink" Target="mailto:Lou.Petrolo@etcom.com.au" TargetMode="External"/><Relationship Id="rId352" Type="http://schemas.openxmlformats.org/officeDocument/2006/relationships/hyperlink" Target="https://www.capstoneediting.com.au/" TargetMode="External"/><Relationship Id="rId394" Type="http://schemas.openxmlformats.org/officeDocument/2006/relationships/hyperlink" Target="https://www.becausexm.com/" TargetMode="External"/><Relationship Id="rId408" Type="http://schemas.openxmlformats.org/officeDocument/2006/relationships/hyperlink" Target="mailto:ema@new-moon.com" TargetMode="External"/><Relationship Id="rId212" Type="http://schemas.openxmlformats.org/officeDocument/2006/relationships/hyperlink" Target="mailto:ahardwick@hardedge.com.au" TargetMode="External"/><Relationship Id="rId254" Type="http://schemas.openxmlformats.org/officeDocument/2006/relationships/hyperlink" Target="mailto:nives@productionexpress.com.au" TargetMode="External"/><Relationship Id="rId49" Type="http://schemas.openxmlformats.org/officeDocument/2006/relationships/hyperlink" Target="mailto:lennie@contentark.com.au" TargetMode="External"/><Relationship Id="rId114" Type="http://schemas.openxmlformats.org/officeDocument/2006/relationships/hyperlink" Target="mailto:beata@artofmultimedia.com.au" TargetMode="External"/><Relationship Id="rId296" Type="http://schemas.openxmlformats.org/officeDocument/2006/relationships/hyperlink" Target="mailto:susan@weaveweb.com.au" TargetMode="External"/><Relationship Id="rId461" Type="http://schemas.openxmlformats.org/officeDocument/2006/relationships/hyperlink" Target="https://www.ivegroup.com.au/" TargetMode="External"/><Relationship Id="rId60" Type="http://schemas.openxmlformats.org/officeDocument/2006/relationships/hyperlink" Target="mailto:tracey.crowley@archibaldwilliams.com" TargetMode="External"/><Relationship Id="rId156" Type="http://schemas.openxmlformats.org/officeDocument/2006/relationships/hyperlink" Target="mailto:dan@foundatsea.co" TargetMode="External"/><Relationship Id="rId198" Type="http://schemas.openxmlformats.org/officeDocument/2006/relationships/hyperlink" Target="http://www.chello.com.au/" TargetMode="External"/><Relationship Id="rId321" Type="http://schemas.openxmlformats.org/officeDocument/2006/relationships/hyperlink" Target="https://explanimate.com.au/" TargetMode="External"/><Relationship Id="rId363" Type="http://schemas.openxmlformats.org/officeDocument/2006/relationships/hyperlink" Target="https://www.mcsaatchi.com.au/" TargetMode="External"/><Relationship Id="rId419" Type="http://schemas.openxmlformats.org/officeDocument/2006/relationships/hyperlink" Target="https://www.heardagency.com/" TargetMode="External"/><Relationship Id="rId223" Type="http://schemas.openxmlformats.org/officeDocument/2006/relationships/hyperlink" Target="mailto:info@canvasgroup.com.au" TargetMode="External"/><Relationship Id="rId430" Type="http://schemas.openxmlformats.org/officeDocument/2006/relationships/hyperlink" Target="https://vrty.io/" TargetMode="External"/><Relationship Id="rId18" Type="http://schemas.openxmlformats.org/officeDocument/2006/relationships/hyperlink" Target="http://www.immediate.net.au/" TargetMode="External"/><Relationship Id="rId265" Type="http://schemas.openxmlformats.org/officeDocument/2006/relationships/hyperlink" Target="mailto:Josh.Frith@thedubs.com" TargetMode="External"/><Relationship Id="rId125" Type="http://schemas.openxmlformats.org/officeDocument/2006/relationships/hyperlink" Target="http://www.bergefarrell.com/" TargetMode="External"/><Relationship Id="rId167" Type="http://schemas.openxmlformats.org/officeDocument/2006/relationships/hyperlink" Target="http://www.kingvideoproduction.com.au/" TargetMode="External"/><Relationship Id="rId332" Type="http://schemas.openxmlformats.org/officeDocument/2006/relationships/hyperlink" Target="https://www.newcast.com.au/" TargetMode="External"/><Relationship Id="rId374" Type="http://schemas.openxmlformats.org/officeDocument/2006/relationships/hyperlink" Target="https://www.wearebetter.com.au/" TargetMode="External"/><Relationship Id="rId71" Type="http://schemas.openxmlformats.org/officeDocument/2006/relationships/hyperlink" Target="http://sixblackpens.com/" TargetMode="External"/><Relationship Id="rId234" Type="http://schemas.openxmlformats.org/officeDocument/2006/relationships/hyperlink" Target="mailto:suzy.smiley@apparent.com.au" TargetMode="External"/><Relationship Id="rId2" Type="http://schemas.openxmlformats.org/officeDocument/2006/relationships/hyperlink" Target="http://www.theideashed.com/" TargetMode="External"/><Relationship Id="rId29" Type="http://schemas.openxmlformats.org/officeDocument/2006/relationships/hyperlink" Target="https://vandal.sydney/" TargetMode="External"/><Relationship Id="rId276" Type="http://schemas.openxmlformats.org/officeDocument/2006/relationships/hyperlink" Target="mailto:jessie@multiculture.com.au" TargetMode="External"/><Relationship Id="rId441" Type="http://schemas.openxmlformats.org/officeDocument/2006/relationships/hyperlink" Target="mailto:colin.fairley@groundagency.com" TargetMode="External"/><Relationship Id="rId40" Type="http://schemas.openxmlformats.org/officeDocument/2006/relationships/hyperlink" Target="https://anothercolour.com.au/" TargetMode="External"/><Relationship Id="rId136" Type="http://schemas.openxmlformats.org/officeDocument/2006/relationships/hyperlink" Target="mailto:jamie.cohen@clockworkfilms.tv" TargetMode="External"/><Relationship Id="rId178" Type="http://schemas.openxmlformats.org/officeDocument/2006/relationships/hyperlink" Target="mailto:oliver.james@yakkazoo.com" TargetMode="External"/><Relationship Id="rId301" Type="http://schemas.openxmlformats.org/officeDocument/2006/relationships/hyperlink" Target="mailto:alana@circul8.com.au" TargetMode="External"/><Relationship Id="rId343" Type="http://schemas.openxmlformats.org/officeDocument/2006/relationships/hyperlink" Target="https://www.l-ldesign.com.au/" TargetMode="External"/><Relationship Id="rId61" Type="http://schemas.openxmlformats.org/officeDocument/2006/relationships/hyperlink" Target="http://www.archibaldwilliams.com/" TargetMode="External"/><Relationship Id="rId82" Type="http://schemas.openxmlformats.org/officeDocument/2006/relationships/hyperlink" Target="mailto:tim@alphabetstudio.co" TargetMode="External"/><Relationship Id="rId199" Type="http://schemas.openxmlformats.org/officeDocument/2006/relationships/hyperlink" Target="mailto:annaburch@emotive.com.au" TargetMode="External"/><Relationship Id="rId203" Type="http://schemas.openxmlformats.org/officeDocument/2006/relationships/hyperlink" Target="http://www.passionberrymarketing.com/" TargetMode="External"/><Relationship Id="rId385" Type="http://schemas.openxmlformats.org/officeDocument/2006/relationships/hyperlink" Target="https://numeralcreative.com/" TargetMode="External"/><Relationship Id="rId19" Type="http://schemas.openxmlformats.org/officeDocument/2006/relationships/hyperlink" Target="mailto:aaron@capturecreative.com.au" TargetMode="External"/><Relationship Id="rId224" Type="http://schemas.openxmlformats.org/officeDocument/2006/relationships/hyperlink" Target="mailto:aweinress@hixonfilms.com" TargetMode="External"/><Relationship Id="rId245" Type="http://schemas.openxmlformats.org/officeDocument/2006/relationships/hyperlink" Target="https://www.loud.com.au/" TargetMode="External"/><Relationship Id="rId266" Type="http://schemas.openxmlformats.org/officeDocument/2006/relationships/hyperlink" Target="mailto:angela@zspace.com.au" TargetMode="External"/><Relationship Id="rId287" Type="http://schemas.openxmlformats.org/officeDocument/2006/relationships/hyperlink" Target="https://www.we-worldwide.com.au/" TargetMode="External"/><Relationship Id="rId410" Type="http://schemas.openxmlformats.org/officeDocument/2006/relationships/hyperlink" Target="mailto:ruth@89degreeseast.com" TargetMode="External"/><Relationship Id="rId431" Type="http://schemas.openxmlformats.org/officeDocument/2006/relationships/hyperlink" Target="mailto:sarah@wax.com.au" TargetMode="External"/><Relationship Id="rId452" Type="http://schemas.openxmlformats.org/officeDocument/2006/relationships/hyperlink" Target="mailto:mariam@boko.com.au" TargetMode="External"/><Relationship Id="rId30" Type="http://schemas.openxmlformats.org/officeDocument/2006/relationships/hyperlink" Target="mailto:sandra@whydocumentaries.com.au" TargetMode="External"/><Relationship Id="rId105" Type="http://schemas.openxmlformats.org/officeDocument/2006/relationships/hyperlink" Target="http://goodsong.com.au/" TargetMode="External"/><Relationship Id="rId126" Type="http://schemas.openxmlformats.org/officeDocument/2006/relationships/hyperlink" Target="mailto:anthony@destinationagency.com.au" TargetMode="External"/><Relationship Id="rId147" Type="http://schemas.openxmlformats.org/officeDocument/2006/relationships/hyperlink" Target="http://yango.com.au/" TargetMode="External"/><Relationship Id="rId168" Type="http://schemas.openxmlformats.org/officeDocument/2006/relationships/hyperlink" Target="http://www.lionize.com.au/" TargetMode="External"/><Relationship Id="rId312" Type="http://schemas.openxmlformats.org/officeDocument/2006/relationships/hyperlink" Target="mailto:dmicallef@abergowerdigital.com.au" TargetMode="External"/><Relationship Id="rId333" Type="http://schemas.openxmlformats.org/officeDocument/2006/relationships/hyperlink" Target="mailto:jamie@bake.agency" TargetMode="External"/><Relationship Id="rId354" Type="http://schemas.openxmlformats.org/officeDocument/2006/relationships/hyperlink" Target="https://themisfits.media/" TargetMode="External"/><Relationship Id="rId51" Type="http://schemas.openxmlformats.org/officeDocument/2006/relationships/hyperlink" Target="mailto:alicia@april5.com.au" TargetMode="External"/><Relationship Id="rId72" Type="http://schemas.openxmlformats.org/officeDocument/2006/relationships/hyperlink" Target="mailto:lisa@enigma.net.au" TargetMode="External"/><Relationship Id="rId93" Type="http://schemas.openxmlformats.org/officeDocument/2006/relationships/hyperlink" Target="http://www.rpsgroup.com/" TargetMode="External"/><Relationship Id="rId189" Type="http://schemas.openxmlformats.org/officeDocument/2006/relationships/hyperlink" Target="mailto:pino@culper.com.au" TargetMode="External"/><Relationship Id="rId375" Type="http://schemas.openxmlformats.org/officeDocument/2006/relationships/hyperlink" Target="mailto:brynn@humbleproductions.com.au" TargetMode="External"/><Relationship Id="rId396" Type="http://schemas.openxmlformats.org/officeDocument/2006/relationships/hyperlink" Target="mailto:claire.thompson@saatchi.com.au" TargetMode="External"/><Relationship Id="rId3" Type="http://schemas.openxmlformats.org/officeDocument/2006/relationships/hyperlink" Target="mailto:dsoekov@gmail.com" TargetMode="External"/><Relationship Id="rId214" Type="http://schemas.openxmlformats.org/officeDocument/2006/relationships/hyperlink" Target="mailto:lisl@ellisjones.com.au" TargetMode="External"/><Relationship Id="rId235" Type="http://schemas.openxmlformats.org/officeDocument/2006/relationships/hyperlink" Target="http://www.apparent.com.au/" TargetMode="External"/><Relationship Id="rId256" Type="http://schemas.openxmlformats.org/officeDocument/2006/relationships/hyperlink" Target="mailto:edelle.gettings@wundermanthompson.com" TargetMode="External"/><Relationship Id="rId277" Type="http://schemas.openxmlformats.org/officeDocument/2006/relationships/hyperlink" Target="http://www.multiculture.com.au/" TargetMode="External"/><Relationship Id="rId298" Type="http://schemas.openxmlformats.org/officeDocument/2006/relationships/hyperlink" Target="https://www.hoopgroup.com.au/" TargetMode="External"/><Relationship Id="rId400" Type="http://schemas.openxmlformats.org/officeDocument/2006/relationships/hyperlink" Target="mailto:tenders@fiftyfive5.com" TargetMode="External"/><Relationship Id="rId421" Type="http://schemas.openxmlformats.org/officeDocument/2006/relationships/hyperlink" Target="https://wethepeople.com.au/" TargetMode="External"/><Relationship Id="rId442" Type="http://schemas.openxmlformats.org/officeDocument/2006/relationships/hyperlink" Target="https://www.groundagency.com/" TargetMode="External"/><Relationship Id="rId463" Type="http://schemas.openxmlformats.org/officeDocument/2006/relationships/hyperlink" Target="mailto:info@blackrhinocreative.com.au" TargetMode="External"/><Relationship Id="rId116" Type="http://schemas.openxmlformats.org/officeDocument/2006/relationships/hyperlink" Target="mailto:mark@nowscreen.com" TargetMode="External"/><Relationship Id="rId137" Type="http://schemas.openxmlformats.org/officeDocument/2006/relationships/hyperlink" Target="http://www.clockworkfilms.com.au/" TargetMode="External"/><Relationship Id="rId158" Type="http://schemas.openxmlformats.org/officeDocument/2006/relationships/hyperlink" Target="mailto:ellie@focuscreative.com.au" TargetMode="External"/><Relationship Id="rId302" Type="http://schemas.openxmlformats.org/officeDocument/2006/relationships/hyperlink" Target="https://www.circul8.com.au/" TargetMode="External"/><Relationship Id="rId323" Type="http://schemas.openxmlformats.org/officeDocument/2006/relationships/hyperlink" Target="https://www.audienceproductions.com/" TargetMode="External"/><Relationship Id="rId344" Type="http://schemas.openxmlformats.org/officeDocument/2006/relationships/hyperlink" Target="mailto:kate.daly@imagination.com" TargetMode="External"/><Relationship Id="rId20" Type="http://schemas.openxmlformats.org/officeDocument/2006/relationships/hyperlink" Target="http://www.capturecreative.com.au/" TargetMode="External"/><Relationship Id="rId41" Type="http://schemas.openxmlformats.org/officeDocument/2006/relationships/hyperlink" Target="mailto:angus.belling@kjassoc.com.au" TargetMode="External"/><Relationship Id="rId62" Type="http://schemas.openxmlformats.org/officeDocument/2006/relationships/hyperlink" Target="https://www.clearconcept.com.au/" TargetMode="External"/><Relationship Id="rId83" Type="http://schemas.openxmlformats.org/officeDocument/2006/relationships/hyperlink" Target="http://www.alphabetstudio.co/" TargetMode="External"/><Relationship Id="rId179" Type="http://schemas.openxmlformats.org/officeDocument/2006/relationships/hyperlink" Target="https://www.yakkazoo.com/" TargetMode="External"/><Relationship Id="rId365" Type="http://schemas.openxmlformats.org/officeDocument/2006/relationships/hyperlink" Target="mailto:lincoln@circusgroup.com" TargetMode="External"/><Relationship Id="rId386" Type="http://schemas.openxmlformats.org/officeDocument/2006/relationships/hyperlink" Target="mailto:jhurst@tribunepartners.com.au" TargetMode="External"/><Relationship Id="rId190" Type="http://schemas.openxmlformats.org/officeDocument/2006/relationships/hyperlink" Target="http://www.culper.com.au/" TargetMode="External"/><Relationship Id="rId204" Type="http://schemas.openxmlformats.org/officeDocument/2006/relationships/hyperlink" Target="mailto:natalie.frischknecht@vmlyr.com" TargetMode="External"/><Relationship Id="rId225" Type="http://schemas.openxmlformats.org/officeDocument/2006/relationships/hyperlink" Target="http://hixonfilms.com/" TargetMode="External"/><Relationship Id="rId246" Type="http://schemas.openxmlformats.org/officeDocument/2006/relationships/hyperlink" Target="mailto:design@jmr.com.au" TargetMode="External"/><Relationship Id="rId267" Type="http://schemas.openxmlformats.org/officeDocument/2006/relationships/hyperlink" Target="http://www.zspace.com.au/" TargetMode="External"/><Relationship Id="rId288" Type="http://schemas.openxmlformats.org/officeDocument/2006/relationships/hyperlink" Target="mailto:rachel@thehealthybrandcompany.com" TargetMode="External"/><Relationship Id="rId411" Type="http://schemas.openxmlformats.org/officeDocument/2006/relationships/hyperlink" Target="https://89degreeseast.com/" TargetMode="External"/><Relationship Id="rId432" Type="http://schemas.openxmlformats.org/officeDocument/2006/relationships/hyperlink" Target="https://www.wax.com.au/" TargetMode="External"/><Relationship Id="rId453" Type="http://schemas.openxmlformats.org/officeDocument/2006/relationships/hyperlink" Target="https://boko.com.au/" TargetMode="External"/><Relationship Id="rId106" Type="http://schemas.openxmlformats.org/officeDocument/2006/relationships/hyperlink" Target="mailto:fergus.stoddart@edge.agency" TargetMode="External"/><Relationship Id="rId127" Type="http://schemas.openxmlformats.org/officeDocument/2006/relationships/hyperlink" Target="http://www.destinationagency.com.au/" TargetMode="External"/><Relationship Id="rId313" Type="http://schemas.openxmlformats.org/officeDocument/2006/relationships/hyperlink" Target="mailto:mikey@digitalstorytellers.com.au" TargetMode="External"/><Relationship Id="rId10" Type="http://schemas.openxmlformats.org/officeDocument/2006/relationships/hyperlink" Target="http://www.aenima.com.au/" TargetMode="External"/><Relationship Id="rId31" Type="http://schemas.openxmlformats.org/officeDocument/2006/relationships/hyperlink" Target="http://whydocumentaries.com.au/" TargetMode="External"/><Relationship Id="rId52" Type="http://schemas.openxmlformats.org/officeDocument/2006/relationships/hyperlink" Target="mailto:tom@principals.com.au" TargetMode="External"/><Relationship Id="rId73" Type="http://schemas.openxmlformats.org/officeDocument/2006/relationships/hyperlink" Target="http://www.enigma.net.au/" TargetMode="External"/><Relationship Id="rId94" Type="http://schemas.openxmlformats.org/officeDocument/2006/relationships/hyperlink" Target="http://www.acronymdesign.com.au/" TargetMode="External"/><Relationship Id="rId148" Type="http://schemas.openxmlformats.org/officeDocument/2006/relationships/hyperlink" Target="mailto:bhaslem@whmspa.com.au" TargetMode="External"/><Relationship Id="rId169" Type="http://schemas.openxmlformats.org/officeDocument/2006/relationships/hyperlink" Target="mailto:mikeyt@lionize.com.au" TargetMode="External"/><Relationship Id="rId334" Type="http://schemas.openxmlformats.org/officeDocument/2006/relationships/hyperlink" Target="https://hankmango.com/" TargetMode="External"/><Relationship Id="rId355" Type="http://schemas.openxmlformats.org/officeDocument/2006/relationships/hyperlink" Target="mailto:amy@itchyfeetdigital.com" TargetMode="External"/><Relationship Id="rId376" Type="http://schemas.openxmlformats.org/officeDocument/2006/relationships/hyperlink" Target="https://www.humbleproductions.com.au/" TargetMode="External"/><Relationship Id="rId397" Type="http://schemas.openxmlformats.org/officeDocument/2006/relationships/hyperlink" Target="mailto:neil.duncan@leoburnett.com.au" TargetMode="External"/><Relationship Id="rId4" Type="http://schemas.openxmlformats.org/officeDocument/2006/relationships/hyperlink" Target="http://danielsoekov.com/" TargetMode="External"/><Relationship Id="rId180" Type="http://schemas.openxmlformats.org/officeDocument/2006/relationships/hyperlink" Target="mailto:bernie.johnson@adrenalinmedia.com.au" TargetMode="External"/><Relationship Id="rId215" Type="http://schemas.openxmlformats.org/officeDocument/2006/relationships/hyperlink" Target="http://www.ellisjones.com.au/" TargetMode="External"/><Relationship Id="rId236" Type="http://schemas.openxmlformats.org/officeDocument/2006/relationships/hyperlink" Target="mailto:chrisb@hinterlands.com.au" TargetMode="External"/><Relationship Id="rId257" Type="http://schemas.openxmlformats.org/officeDocument/2006/relationships/hyperlink" Target="https://www.wundermanthompson.com/australia" TargetMode="External"/><Relationship Id="rId278" Type="http://schemas.openxmlformats.org/officeDocument/2006/relationships/hyperlink" Target="mailto:nathan@elasticstudios.com.au" TargetMode="External"/><Relationship Id="rId401" Type="http://schemas.openxmlformats.org/officeDocument/2006/relationships/hyperlink" Target="https://fiftyfive5.com/" TargetMode="External"/><Relationship Id="rId422" Type="http://schemas.openxmlformats.org/officeDocument/2006/relationships/hyperlink" Target="https://eux.com.au/" TargetMode="External"/><Relationship Id="rId443" Type="http://schemas.openxmlformats.org/officeDocument/2006/relationships/hyperlink" Target="mailto:ben@globalpictures.com.au" TargetMode="External"/><Relationship Id="rId464" Type="http://schemas.openxmlformats.org/officeDocument/2006/relationships/hyperlink" Target="https://www.blackrhinocreative.com.au/" TargetMode="External"/><Relationship Id="rId303" Type="http://schemas.openxmlformats.org/officeDocument/2006/relationships/hyperlink" Target="mailto:olivia.chamberlain@ogilvy.com.au" TargetMode="External"/><Relationship Id="rId42" Type="http://schemas.openxmlformats.org/officeDocument/2006/relationships/hyperlink" Target="http://www.kjassoc.com.au/" TargetMode="External"/><Relationship Id="rId84" Type="http://schemas.openxmlformats.org/officeDocument/2006/relationships/hyperlink" Target="mailto:carrie.williams@milkmoney.tv" TargetMode="External"/><Relationship Id="rId138" Type="http://schemas.openxmlformats.org/officeDocument/2006/relationships/hyperlink" Target="mailto:joanne@iconagency.com.au" TargetMode="External"/><Relationship Id="rId345" Type="http://schemas.openxmlformats.org/officeDocument/2006/relationships/hyperlink" Target="https://imagination.com/" TargetMode="External"/><Relationship Id="rId387" Type="http://schemas.openxmlformats.org/officeDocument/2006/relationships/hyperlink" Target="mailto:joe@maxagency.com.au" TargetMode="External"/><Relationship Id="rId191" Type="http://schemas.openxmlformats.org/officeDocument/2006/relationships/hyperlink" Target="mailto:bruce@illidgecreative.com.au" TargetMode="External"/><Relationship Id="rId205" Type="http://schemas.openxmlformats.org/officeDocument/2006/relationships/hyperlink" Target="http://www.vmlyr.com/" TargetMode="External"/><Relationship Id="rId247" Type="http://schemas.openxmlformats.org/officeDocument/2006/relationships/hyperlink" Target="http://www.jmr.com.au/" TargetMode="External"/><Relationship Id="rId412" Type="http://schemas.openxmlformats.org/officeDocument/2006/relationships/hyperlink" Target="mailto:michael@esemprojects.com" TargetMode="External"/><Relationship Id="rId107" Type="http://schemas.openxmlformats.org/officeDocument/2006/relationships/hyperlink" Target="http://edge.agency/" TargetMode="External"/><Relationship Id="rId289" Type="http://schemas.openxmlformats.org/officeDocument/2006/relationships/hyperlink" Target="https://www.thehealthybrandcompany.com/" TargetMode="External"/><Relationship Id="rId454" Type="http://schemas.openxmlformats.org/officeDocument/2006/relationships/hyperlink" Target="mailto:alex@kinshipdigital.com" TargetMode="External"/><Relationship Id="rId11" Type="http://schemas.openxmlformats.org/officeDocument/2006/relationships/hyperlink" Target="mailto:tonyg@brandfaction.com.au" TargetMode="External"/><Relationship Id="rId53" Type="http://schemas.openxmlformats.org/officeDocument/2006/relationships/hyperlink" Target="https://www.principals.com.au/" TargetMode="External"/><Relationship Id="rId149" Type="http://schemas.openxmlformats.org/officeDocument/2006/relationships/hyperlink" Target="http://whmspa.com.au/" TargetMode="External"/><Relationship Id="rId314" Type="http://schemas.openxmlformats.org/officeDocument/2006/relationships/hyperlink" Target="mailto:james@actualisedesign.com" TargetMode="External"/><Relationship Id="rId356" Type="http://schemas.openxmlformats.org/officeDocument/2006/relationships/hyperlink" Target="https://elmcommunications.com.au/" TargetMode="External"/><Relationship Id="rId398" Type="http://schemas.openxmlformats.org/officeDocument/2006/relationships/hyperlink" Target="https://www.leoburnett.com.au/" TargetMode="External"/><Relationship Id="rId95" Type="http://schemas.openxmlformats.org/officeDocument/2006/relationships/hyperlink" Target="mailto:melonieryan@acronymdesign.com.au" TargetMode="External"/><Relationship Id="rId160" Type="http://schemas.openxmlformats.org/officeDocument/2006/relationships/hyperlink" Target="mailto:a@annazhu.com" TargetMode="External"/><Relationship Id="rId216" Type="http://schemas.openxmlformats.org/officeDocument/2006/relationships/hyperlink" Target="mailto:pkent@porternovelli.com.au" TargetMode="External"/><Relationship Id="rId423" Type="http://schemas.openxmlformats.org/officeDocument/2006/relationships/hyperlink" Target="https://www.proofcommunications.com.au/" TargetMode="External"/><Relationship Id="rId258" Type="http://schemas.openxmlformats.org/officeDocument/2006/relationships/hyperlink" Target="mailto:david@radicalorange.tv" TargetMode="External"/><Relationship Id="rId465" Type="http://schemas.openxmlformats.org/officeDocument/2006/relationships/hyperlink" Target="mailto:ben@kgmdesign.com.au" TargetMode="External"/><Relationship Id="rId22" Type="http://schemas.openxmlformats.org/officeDocument/2006/relationships/hyperlink" Target="https://www.propelgroup.com.au/" TargetMode="External"/><Relationship Id="rId64" Type="http://schemas.openxmlformats.org/officeDocument/2006/relationships/hyperlink" Target="mailto:natalie@reddoorproduction.com.au" TargetMode="External"/><Relationship Id="rId118" Type="http://schemas.openxmlformats.org/officeDocument/2006/relationships/hyperlink" Target="https://www.urbanactive.com.au/" TargetMode="External"/><Relationship Id="rId325" Type="http://schemas.openxmlformats.org/officeDocument/2006/relationships/hyperlink" Target="https://www.inception.clinic/" TargetMode="External"/><Relationship Id="rId367" Type="http://schemas.openxmlformats.org/officeDocument/2006/relationships/hyperlink" Target="mailto:tenders@rowland.com.au" TargetMode="External"/><Relationship Id="rId171" Type="http://schemas.openxmlformats.org/officeDocument/2006/relationships/hyperlink" Target="http://commonv.com.au/" TargetMode="External"/><Relationship Id="rId227" Type="http://schemas.openxmlformats.org/officeDocument/2006/relationships/hyperlink" Target="http://www.bmf.com.au/" TargetMode="External"/><Relationship Id="rId269" Type="http://schemas.openxmlformats.org/officeDocument/2006/relationships/hyperlink" Target="http://www.keyyproductions.com.au/" TargetMode="External"/><Relationship Id="rId434" Type="http://schemas.openxmlformats.org/officeDocument/2006/relationships/hyperlink" Target="http://www.90seconds.com/" TargetMode="External"/><Relationship Id="rId33" Type="http://schemas.openxmlformats.org/officeDocument/2006/relationships/hyperlink" Target="http://www.laundrylane.com/" TargetMode="External"/><Relationship Id="rId129" Type="http://schemas.openxmlformats.org/officeDocument/2006/relationships/hyperlink" Target="mailto:hello@tinyhunter.com.au" TargetMode="External"/><Relationship Id="rId280" Type="http://schemas.openxmlformats.org/officeDocument/2006/relationships/hyperlink" Target="mailto:lisa.ramsey@digagency.com.au" TargetMode="External"/><Relationship Id="rId336" Type="http://schemas.openxmlformats.org/officeDocument/2006/relationships/hyperlink" Target="https://banjo.com.au/" TargetMode="External"/><Relationship Id="rId75" Type="http://schemas.openxmlformats.org/officeDocument/2006/relationships/hyperlink" Target="http://www.hosthavas.com/" TargetMode="External"/><Relationship Id="rId140" Type="http://schemas.openxmlformats.org/officeDocument/2006/relationships/hyperlink" Target="mailto:design@messy.com.au" TargetMode="External"/><Relationship Id="rId182" Type="http://schemas.openxmlformats.org/officeDocument/2006/relationships/hyperlink" Target="http://maverick.com.au/" TargetMode="External"/><Relationship Id="rId378" Type="http://schemas.openxmlformats.org/officeDocument/2006/relationships/hyperlink" Target="https://www.brandergy.com.au/" TargetMode="External"/><Relationship Id="rId403" Type="http://schemas.openxmlformats.org/officeDocument/2006/relationships/hyperlink" Target="https://www.ravel.com.au/" TargetMode="External"/><Relationship Id="rId6" Type="http://schemas.openxmlformats.org/officeDocument/2006/relationships/hyperlink" Target="https://www.am-i.com.au/" TargetMode="External"/><Relationship Id="rId238" Type="http://schemas.openxmlformats.org/officeDocument/2006/relationships/hyperlink" Target="mailto:luke@affinity.ad" TargetMode="External"/><Relationship Id="rId445" Type="http://schemas.openxmlformats.org/officeDocument/2006/relationships/hyperlink" Target="mailto:dan.johns@havasmedia.com" TargetMode="External"/><Relationship Id="rId291" Type="http://schemas.openxmlformats.org/officeDocument/2006/relationships/hyperlink" Target="http://www.brandexpression.com.au/" TargetMode="External"/><Relationship Id="rId305" Type="http://schemas.openxmlformats.org/officeDocument/2006/relationships/hyperlink" Target="mailto:reuben@daveclark.co.nz" TargetMode="External"/><Relationship Id="rId347" Type="http://schemas.openxmlformats.org/officeDocument/2006/relationships/hyperlink" Target="mailto:martin@inthethicket.com.au" TargetMode="External"/><Relationship Id="rId44" Type="http://schemas.openxmlformats.org/officeDocument/2006/relationships/hyperlink" Target="https://www.ethnolink.com.au/" TargetMode="External"/><Relationship Id="rId86" Type="http://schemas.openxmlformats.org/officeDocument/2006/relationships/hyperlink" Target="mailto:carolyn@juntosmarketing.com.au" TargetMode="External"/><Relationship Id="rId151" Type="http://schemas.openxmlformats.org/officeDocument/2006/relationships/hyperlink" Target="http://rocketagency.com.au/" TargetMode="External"/><Relationship Id="rId389" Type="http://schemas.openxmlformats.org/officeDocument/2006/relationships/hyperlink" Target="https://www.upsidedown.com.au/" TargetMode="External"/><Relationship Id="rId193" Type="http://schemas.openxmlformats.org/officeDocument/2006/relationships/hyperlink" Target="mailto:apopek@wewonder.com.au" TargetMode="External"/><Relationship Id="rId207" Type="http://schemas.openxmlformats.org/officeDocument/2006/relationships/hyperlink" Target="http://www.houseofkitch.com.au/" TargetMode="External"/><Relationship Id="rId249" Type="http://schemas.openxmlformats.org/officeDocument/2006/relationships/hyperlink" Target="http://www.twostory.com.au/" TargetMode="External"/><Relationship Id="rId414" Type="http://schemas.openxmlformats.org/officeDocument/2006/relationships/hyperlink" Target="mailto:grant@proactivegraphics.com.au" TargetMode="External"/><Relationship Id="rId456" Type="http://schemas.openxmlformats.org/officeDocument/2006/relationships/hyperlink" Target="mailto:laura@imab2b.com" TargetMode="External"/><Relationship Id="rId13" Type="http://schemas.openxmlformats.org/officeDocument/2006/relationships/hyperlink" Target="http://33creative.com.au/" TargetMode="External"/><Relationship Id="rId109" Type="http://schemas.openxmlformats.org/officeDocument/2006/relationships/hyperlink" Target="https://www.nielsen.com/au/en/contact-us/" TargetMode="External"/><Relationship Id="rId260" Type="http://schemas.openxmlformats.org/officeDocument/2006/relationships/hyperlink" Target="mailto:inbox@editorgroup.com" TargetMode="External"/><Relationship Id="rId316" Type="http://schemas.openxmlformats.org/officeDocument/2006/relationships/hyperlink" Target="mailto:kara@gutscreative.com.au" TargetMode="External"/><Relationship Id="rId55" Type="http://schemas.openxmlformats.org/officeDocument/2006/relationships/hyperlink" Target="http://houstongroup.com.au/" TargetMode="External"/><Relationship Id="rId97" Type="http://schemas.openxmlformats.org/officeDocument/2006/relationships/hyperlink" Target="https://agent99pr.com/" TargetMode="External"/><Relationship Id="rId120" Type="http://schemas.openxmlformats.org/officeDocument/2006/relationships/hyperlink" Target="mailto:zannie.abbott@bigpond.com" TargetMode="External"/><Relationship Id="rId358" Type="http://schemas.openxmlformats.org/officeDocument/2006/relationships/hyperlink" Target="https://www.infinity2.com.au/" TargetMode="External"/><Relationship Id="rId162" Type="http://schemas.openxmlformats.org/officeDocument/2006/relationships/hyperlink" Target="mailto:ian@limelightcreativemedia.com.au" TargetMode="External"/><Relationship Id="rId218" Type="http://schemas.openxmlformats.org/officeDocument/2006/relationships/hyperlink" Target="mailto:info@addiestudio.com" TargetMode="External"/><Relationship Id="rId425" Type="http://schemas.openxmlformats.org/officeDocument/2006/relationships/hyperlink" Target="mailto:chris@primarycommsgroup.com.au" TargetMode="External"/><Relationship Id="rId467" Type="http://schemas.openxmlformats.org/officeDocument/2006/relationships/printerSettings" Target="../printerSettings/printerSettings2.bin"/><Relationship Id="rId271" Type="http://schemas.openxmlformats.org/officeDocument/2006/relationships/hyperlink" Target="http://www.swingtime.com.au/" TargetMode="External"/><Relationship Id="rId24" Type="http://schemas.openxmlformats.org/officeDocument/2006/relationships/hyperlink" Target="http://www.stillonemedia.com/" TargetMode="External"/><Relationship Id="rId66" Type="http://schemas.openxmlformats.org/officeDocument/2006/relationships/hyperlink" Target="mailto:andrew@suddenly.com.au" TargetMode="External"/><Relationship Id="rId131" Type="http://schemas.openxmlformats.org/officeDocument/2006/relationships/hyperlink" Target="http://www.nightjar.co/" TargetMode="External"/><Relationship Id="rId327" Type="http://schemas.openxmlformats.org/officeDocument/2006/relationships/hyperlink" Target="https://www.brandalism.com.au/" TargetMode="External"/><Relationship Id="rId369" Type="http://schemas.openxmlformats.org/officeDocument/2006/relationships/hyperlink" Target="mailto:phillipa@4bmedia.tv" TargetMode="External"/><Relationship Id="rId173" Type="http://schemas.openxmlformats.org/officeDocument/2006/relationships/hyperlink" Target="https://wearesocial.com/au/" TargetMode="External"/><Relationship Id="rId229" Type="http://schemas.openxmlformats.org/officeDocument/2006/relationships/hyperlink" Target="mailto:eithne.mcswiney@ghosydney.com" TargetMode="External"/><Relationship Id="rId380" Type="http://schemas.openxmlformats.org/officeDocument/2006/relationships/hyperlink" Target="mailto:mike@definitivegroup.com.au" TargetMode="External"/><Relationship Id="rId436" Type="http://schemas.openxmlformats.org/officeDocument/2006/relationships/hyperlink" Target="https://sites.google.com/view/corvid-copywriting" TargetMode="External"/><Relationship Id="rId240" Type="http://schemas.openxmlformats.org/officeDocument/2006/relationships/hyperlink" Target="mailto:monty@noblebrandsworldwide.com" TargetMode="External"/><Relationship Id="rId35" Type="http://schemas.openxmlformats.org/officeDocument/2006/relationships/hyperlink" Target="http://www.cdi-design.com.au/" TargetMode="External"/><Relationship Id="rId77" Type="http://schemas.openxmlformats.org/officeDocument/2006/relationships/hyperlink" Target="https://www.carbon5creative.com.au/" TargetMode="External"/><Relationship Id="rId100" Type="http://schemas.openxmlformats.org/officeDocument/2006/relationships/hyperlink" Target="mailto:sean@designdavey.com.au" TargetMode="External"/><Relationship Id="rId282" Type="http://schemas.openxmlformats.org/officeDocument/2006/relationships/hyperlink" Target="mailto:jade.clark@clemenger.com.au" TargetMode="External"/><Relationship Id="rId338" Type="http://schemas.openxmlformats.org/officeDocument/2006/relationships/hyperlink" Target="https://www.qualie.com/" TargetMode="External"/><Relationship Id="rId8" Type="http://schemas.openxmlformats.org/officeDocument/2006/relationships/hyperlink" Target="http://www.resolvestrategic.com/" TargetMode="External"/><Relationship Id="rId142" Type="http://schemas.openxmlformats.org/officeDocument/2006/relationships/hyperlink" Target="mailto:nathan@pearshop.com.au" TargetMode="External"/><Relationship Id="rId184" Type="http://schemas.openxmlformats.org/officeDocument/2006/relationships/hyperlink" Target="https://lep.digital/" TargetMode="External"/><Relationship Id="rId391" Type="http://schemas.openxmlformats.org/officeDocument/2006/relationships/hyperlink" Target="mailto:az@ecddigital.com.au" TargetMode="External"/><Relationship Id="rId405" Type="http://schemas.openxmlformats.org/officeDocument/2006/relationships/hyperlink" Target="https://www.cultureshock.marketing/" TargetMode="External"/><Relationship Id="rId447" Type="http://schemas.openxmlformats.org/officeDocument/2006/relationships/hyperlink" Target="mailto:michael.smith@sbs.com.au" TargetMode="External"/><Relationship Id="rId251" Type="http://schemas.openxmlformats.org/officeDocument/2006/relationships/hyperlink" Target="http://www.momentum2.com.au/" TargetMode="External"/><Relationship Id="rId46" Type="http://schemas.openxmlformats.org/officeDocument/2006/relationships/hyperlink" Target="https://www.wildbeardigital.com.au/" TargetMode="External"/><Relationship Id="rId293" Type="http://schemas.openxmlformats.org/officeDocument/2006/relationships/hyperlink" Target="mailto:Sam@tdirections.com.au" TargetMode="External"/><Relationship Id="rId307" Type="http://schemas.openxmlformats.org/officeDocument/2006/relationships/hyperlink" Target="mailto:graham@designstreet.com.au" TargetMode="External"/><Relationship Id="rId349" Type="http://schemas.openxmlformats.org/officeDocument/2006/relationships/hyperlink" Target="https://www.apostledigital.com/" TargetMode="External"/><Relationship Id="rId88" Type="http://schemas.openxmlformats.org/officeDocument/2006/relationships/hyperlink" Target="mailto:michael@folk.com.au" TargetMode="External"/><Relationship Id="rId111" Type="http://schemas.openxmlformats.org/officeDocument/2006/relationships/hyperlink" Target="http://www.invntgroup.com/" TargetMode="External"/><Relationship Id="rId153" Type="http://schemas.openxmlformats.org/officeDocument/2006/relationships/hyperlink" Target="http://spatialmedia.com.au/" TargetMode="External"/><Relationship Id="rId195" Type="http://schemas.openxmlformats.org/officeDocument/2006/relationships/hyperlink" Target="mailto:intdes@aussiebb.com.au" TargetMode="External"/><Relationship Id="rId209" Type="http://schemas.openxmlformats.org/officeDocument/2006/relationships/hyperlink" Target="http://www.brandmatters.com.au/" TargetMode="External"/><Relationship Id="rId360" Type="http://schemas.openxmlformats.org/officeDocument/2006/relationships/hyperlink" Target="mailto:lucy.billington@mcsaatchi.com.au" TargetMode="External"/><Relationship Id="rId416" Type="http://schemas.openxmlformats.org/officeDocument/2006/relationships/hyperlink" Target="mailto:hello@wedgetailpictures.com" TargetMode="External"/><Relationship Id="rId220" Type="http://schemas.openxmlformats.org/officeDocument/2006/relationships/hyperlink" Target="mailto:bernadette.barrett@khpl.com.au" TargetMode="External"/><Relationship Id="rId458" Type="http://schemas.openxmlformats.org/officeDocument/2006/relationships/hyperlink" Target="mailto:dave@loteagency.com.au" TargetMode="External"/><Relationship Id="rId15" Type="http://schemas.openxmlformats.org/officeDocument/2006/relationships/hyperlink" Target="mailto:peter.wilson@catobrandpartners.com" TargetMode="External"/><Relationship Id="rId57" Type="http://schemas.openxmlformats.org/officeDocument/2006/relationships/hyperlink" Target="http://www.mintfilms.com.au/" TargetMode="External"/><Relationship Id="rId262" Type="http://schemas.openxmlformats.org/officeDocument/2006/relationships/hyperlink" Target="mailto:perry@filmconstruction.com" TargetMode="External"/><Relationship Id="rId318" Type="http://schemas.openxmlformats.org/officeDocument/2006/relationships/hyperlink" Target="mailto:david.easton@reborn.co" TargetMode="External"/><Relationship Id="rId99" Type="http://schemas.openxmlformats.org/officeDocument/2006/relationships/hyperlink" Target="https://www.nextandco.com.au/" TargetMode="External"/><Relationship Id="rId122" Type="http://schemas.openxmlformats.org/officeDocument/2006/relationships/hyperlink" Target="mailto:fluffycloudmedia@gmail.com" TargetMode="External"/><Relationship Id="rId164" Type="http://schemas.openxmlformats.org/officeDocument/2006/relationships/hyperlink" Target="mailto:simon.moore@eltonward.com.au" TargetMode="External"/><Relationship Id="rId371" Type="http://schemas.openxmlformats.org/officeDocument/2006/relationships/hyperlink" Target="mailto:joe@summerhill.com.au" TargetMode="External"/><Relationship Id="rId427" Type="http://schemas.openxmlformats.org/officeDocument/2006/relationships/hyperlink" Target="mailto:katie.henderson@72andsunny.com" TargetMode="External"/><Relationship Id="rId26" Type="http://schemas.openxmlformats.org/officeDocument/2006/relationships/hyperlink" Target="https://antelopemedia.com.au/" TargetMode="External"/><Relationship Id="rId231" Type="http://schemas.openxmlformats.org/officeDocument/2006/relationships/hyperlink" Target="http://www.embracesociety.com.au/" TargetMode="External"/><Relationship Id="rId273" Type="http://schemas.openxmlformats.org/officeDocument/2006/relationships/hyperlink" Target="mailto:jojo@hellootto.com.au" TargetMode="External"/><Relationship Id="rId329" Type="http://schemas.openxmlformats.org/officeDocument/2006/relationships/hyperlink" Target="https://nobleagency.com.au/" TargetMode="External"/><Relationship Id="rId68" Type="http://schemas.openxmlformats.org/officeDocument/2006/relationships/hyperlink" Target="mailto:alexandria@thebeinggroup.com" TargetMode="External"/><Relationship Id="rId133" Type="http://schemas.openxmlformats.org/officeDocument/2006/relationships/hyperlink" Target="http://papermonkey.com.au/" TargetMode="External"/><Relationship Id="rId175" Type="http://schemas.openxmlformats.org/officeDocument/2006/relationships/hyperlink" Target="http://www.mccann.com.au/" TargetMode="External"/><Relationship Id="rId340" Type="http://schemas.openxmlformats.org/officeDocument/2006/relationships/hyperlink" Target="mailto:jordan.d@theworksagency.com.au" TargetMode="External"/><Relationship Id="rId200" Type="http://schemas.openxmlformats.org/officeDocument/2006/relationships/hyperlink" Target="http://www.emotive.com.au/" TargetMode="External"/><Relationship Id="rId382" Type="http://schemas.openxmlformats.org/officeDocument/2006/relationships/hyperlink" Target="https://pollen.com.au/" TargetMode="External"/><Relationship Id="rId438" Type="http://schemas.openxmlformats.org/officeDocument/2006/relationships/hyperlink" Target="https://www.populares.co/" TargetMode="External"/><Relationship Id="rId242" Type="http://schemas.openxmlformats.org/officeDocument/2006/relationships/hyperlink" Target="mailto:brendan@cooperfilms.net" TargetMode="External"/><Relationship Id="rId284" Type="http://schemas.openxmlformats.org/officeDocument/2006/relationships/hyperlink" Target="mailto:anthony@punchydigitalmedia.com.au" TargetMode="External"/><Relationship Id="rId37" Type="http://schemas.openxmlformats.org/officeDocument/2006/relationships/hyperlink" Target="mailto:michael@5ivesenses.com.au" TargetMode="External"/><Relationship Id="rId79" Type="http://schemas.openxmlformats.org/officeDocument/2006/relationships/hyperlink" Target="mailto:rodrigo@blkfsch.com" TargetMode="External"/><Relationship Id="rId102" Type="http://schemas.openxmlformats.org/officeDocument/2006/relationships/hyperlink" Target="mailto:nick@papermoose.com" TargetMode="External"/><Relationship Id="rId144" Type="http://schemas.openxmlformats.org/officeDocument/2006/relationships/hyperlink" Target="mailto:craig@impressdesign.com.au" TargetMode="External"/><Relationship Id="rId90" Type="http://schemas.openxmlformats.org/officeDocument/2006/relationships/hyperlink" Target="mailto:michael.titshall@rga.com" TargetMode="External"/><Relationship Id="rId186" Type="http://schemas.openxmlformats.org/officeDocument/2006/relationships/hyperlink" Target="http://www.thinksmartmarketing.com.au/" TargetMode="External"/><Relationship Id="rId351" Type="http://schemas.openxmlformats.org/officeDocument/2006/relationships/hyperlink" Target="https://www.wallisgroup.com.au/" TargetMode="External"/><Relationship Id="rId393" Type="http://schemas.openxmlformats.org/officeDocument/2006/relationships/hyperlink" Target="mailto:rebecca@someoneinsydney.com" TargetMode="External"/><Relationship Id="rId407" Type="http://schemas.openxmlformats.org/officeDocument/2006/relationships/hyperlink" Target="https://sparro.com.au/" TargetMode="External"/><Relationship Id="rId449" Type="http://schemas.openxmlformats.org/officeDocument/2006/relationships/hyperlink" Target="https://www.metrographics.com.au/" TargetMode="External"/><Relationship Id="rId211" Type="http://schemas.openxmlformats.org/officeDocument/2006/relationships/hyperlink" Target="http://www.ideaseed.com.au/" TargetMode="External"/><Relationship Id="rId253" Type="http://schemas.openxmlformats.org/officeDocument/2006/relationships/hyperlink" Target="https://www.cyphainteractive.com.au/" TargetMode="External"/><Relationship Id="rId295" Type="http://schemas.openxmlformats.org/officeDocument/2006/relationships/hyperlink" Target="http://www.april5.com.au/" TargetMode="External"/><Relationship Id="rId309" Type="http://schemas.openxmlformats.org/officeDocument/2006/relationships/hyperlink" Target="mailto:geff@engaging.io" TargetMode="External"/><Relationship Id="rId460" Type="http://schemas.openxmlformats.org/officeDocument/2006/relationships/hyperlink" Target="mailto:chad.brown@ivegroup.com.au" TargetMode="External"/><Relationship Id="rId48" Type="http://schemas.openxmlformats.org/officeDocument/2006/relationships/hyperlink" Target="http://www.energi.com.au/" TargetMode="External"/><Relationship Id="rId113" Type="http://schemas.openxmlformats.org/officeDocument/2006/relationships/hyperlink" Target="http://www.ddb.com.au/" TargetMode="External"/><Relationship Id="rId320" Type="http://schemas.openxmlformats.org/officeDocument/2006/relationships/hyperlink" Target="mailto:travis@explanimate.com.au" TargetMode="External"/><Relationship Id="rId155" Type="http://schemas.openxmlformats.org/officeDocument/2006/relationships/hyperlink" Target="http://www.analogfolk.com/" TargetMode="External"/><Relationship Id="rId197" Type="http://schemas.openxmlformats.org/officeDocument/2006/relationships/hyperlink" Target="mailto:philippa@chello.com.au" TargetMode="External"/><Relationship Id="rId362" Type="http://schemas.openxmlformats.org/officeDocument/2006/relationships/hyperlink" Target="mailto:julian@melhuishco.com" TargetMode="External"/><Relationship Id="rId418" Type="http://schemas.openxmlformats.org/officeDocument/2006/relationships/hyperlink" Target="mailto:dheard@heardagency.com" TargetMode="External"/><Relationship Id="rId222" Type="http://schemas.openxmlformats.org/officeDocument/2006/relationships/hyperlink" Target="http://www.canvasgroup.com.au/" TargetMode="External"/><Relationship Id="rId264" Type="http://schemas.openxmlformats.org/officeDocument/2006/relationships/hyperlink" Target="http://www.thedubs.com/" TargetMode="External"/><Relationship Id="rId17" Type="http://schemas.openxmlformats.org/officeDocument/2006/relationships/hyperlink" Target="mailto:chris@immediate.net.au" TargetMode="External"/><Relationship Id="rId59" Type="http://schemas.openxmlformats.org/officeDocument/2006/relationships/hyperlink" Target="http://goodchat.tv/" TargetMode="External"/><Relationship Id="rId124" Type="http://schemas.openxmlformats.org/officeDocument/2006/relationships/hyperlink" Target="mailto:john@bergefarrell.com" TargetMode="External"/><Relationship Id="rId70" Type="http://schemas.openxmlformats.org/officeDocument/2006/relationships/hyperlink" Target="mailto:helen@sixblackpens.com" TargetMode="External"/><Relationship Id="rId166" Type="http://schemas.openxmlformats.org/officeDocument/2006/relationships/hyperlink" Target="mailto:richard@kingcreatives.com.au" TargetMode="External"/><Relationship Id="rId331" Type="http://schemas.openxmlformats.org/officeDocument/2006/relationships/hyperlink" Target="mailto:damien@newcast.com.au" TargetMode="External"/><Relationship Id="rId373" Type="http://schemas.openxmlformats.org/officeDocument/2006/relationships/hyperlink" Target="mailto:haissam@wearebetter.com.au" TargetMode="External"/><Relationship Id="rId429" Type="http://schemas.openxmlformats.org/officeDocument/2006/relationships/hyperlink" Target="mailto:kingston@vrty.io" TargetMode="External"/><Relationship Id="rId1" Type="http://schemas.openxmlformats.org/officeDocument/2006/relationships/hyperlink" Target="mailto:rich@theideashed.com" TargetMode="External"/><Relationship Id="rId233" Type="http://schemas.openxmlformats.org/officeDocument/2006/relationships/hyperlink" Target="http://www.hoyne.com.au/" TargetMode="External"/><Relationship Id="rId440" Type="http://schemas.openxmlformats.org/officeDocument/2006/relationships/hyperlink" Target="https://www.originalspin.com.au/" TargetMode="External"/><Relationship Id="rId28" Type="http://schemas.openxmlformats.org/officeDocument/2006/relationships/hyperlink" Target="https://enginegroup.com/apac/" TargetMode="External"/><Relationship Id="rId275" Type="http://schemas.openxmlformats.org/officeDocument/2006/relationships/hyperlink" Target="http://www.uncappedcreative.com.au/" TargetMode="External"/><Relationship Id="rId300" Type="http://schemas.openxmlformats.org/officeDocument/2006/relationships/hyperlink" Target="https://www.thebrandpool.com.au/" TargetMode="External"/><Relationship Id="rId81" Type="http://schemas.openxmlformats.org/officeDocument/2006/relationships/hyperlink" Target="http://www.informationaccessgroup.com/" TargetMode="External"/><Relationship Id="rId135" Type="http://schemas.openxmlformats.org/officeDocument/2006/relationships/hyperlink" Target="http://jimjamideas.com/" TargetMode="External"/><Relationship Id="rId177" Type="http://schemas.openxmlformats.org/officeDocument/2006/relationships/hyperlink" Target="https://percept.com.au/" TargetMode="External"/><Relationship Id="rId342" Type="http://schemas.openxmlformats.org/officeDocument/2006/relationships/hyperlink" Target="mailto:lisak@l-ldesign.com.au" TargetMode="External"/><Relationship Id="rId384" Type="http://schemas.openxmlformats.org/officeDocument/2006/relationships/hyperlink" Target="mailto:sam@hellosocial.com.au" TargetMode="External"/><Relationship Id="rId202" Type="http://schemas.openxmlformats.org/officeDocument/2006/relationships/hyperlink" Target="mailto:geoff@passionberrymarketing.com" TargetMode="External"/><Relationship Id="rId244" Type="http://schemas.openxmlformats.org/officeDocument/2006/relationships/hyperlink" Target="mailto:lorraine@loud.com.au" TargetMode="External"/><Relationship Id="rId39" Type="http://schemas.openxmlformats.org/officeDocument/2006/relationships/hyperlink" Target="mailto:steve@anothercolour.com.au" TargetMode="External"/><Relationship Id="rId286" Type="http://schemas.openxmlformats.org/officeDocument/2006/relationships/hyperlink" Target="mailto:srennie@we-worldwide.com" TargetMode="External"/><Relationship Id="rId451" Type="http://schemas.openxmlformats.org/officeDocument/2006/relationships/hyperlink" Target="https://marshlandia.co/" TargetMode="External"/><Relationship Id="rId50" Type="http://schemas.openxmlformats.org/officeDocument/2006/relationships/hyperlink" Target="http://www.contentark.com.au/" TargetMode="External"/><Relationship Id="rId104" Type="http://schemas.openxmlformats.org/officeDocument/2006/relationships/hyperlink" Target="mailto:hello@goodsong.com.au" TargetMode="External"/><Relationship Id="rId146" Type="http://schemas.openxmlformats.org/officeDocument/2006/relationships/hyperlink" Target="mailto:luke@yango.com.au" TargetMode="External"/><Relationship Id="rId188" Type="http://schemas.openxmlformats.org/officeDocument/2006/relationships/hyperlink" Target="https://etcom.com.au/" TargetMode="External"/><Relationship Id="rId311" Type="http://schemas.openxmlformats.org/officeDocument/2006/relationships/hyperlink" Target="mailto:joe@magpiecreative.com.au" TargetMode="External"/><Relationship Id="rId353" Type="http://schemas.openxmlformats.org/officeDocument/2006/relationships/hyperlink" Target="mailto:zac.bruckner@capstoneediting.com.au" TargetMode="External"/><Relationship Id="rId395" Type="http://schemas.openxmlformats.org/officeDocument/2006/relationships/hyperlink" Target="https://saatchi.com.au/" TargetMode="External"/><Relationship Id="rId409" Type="http://schemas.openxmlformats.org/officeDocument/2006/relationships/hyperlink" Target="https://new-moon.com/" TargetMode="External"/><Relationship Id="rId92" Type="http://schemas.openxmlformats.org/officeDocument/2006/relationships/hyperlink" Target="mailto:ICCtenders@rpsgroup.com.au" TargetMode="External"/><Relationship Id="rId213" Type="http://schemas.openxmlformats.org/officeDocument/2006/relationships/hyperlink" Target="https://www.hardedge.com.au/" TargetMode="External"/><Relationship Id="rId420" Type="http://schemas.openxmlformats.org/officeDocument/2006/relationships/hyperlink" Target="mailto:jacob.arnott@wethepeople.com.au" TargetMode="External"/><Relationship Id="rId255" Type="http://schemas.openxmlformats.org/officeDocument/2006/relationships/hyperlink" Target="http://sweetmanand.co/" TargetMode="External"/><Relationship Id="rId297" Type="http://schemas.openxmlformats.org/officeDocument/2006/relationships/hyperlink" Target="mailto:liz@hoopgroup.com.au" TargetMode="External"/><Relationship Id="rId462" Type="http://schemas.openxmlformats.org/officeDocument/2006/relationships/hyperlink" Target="https://www.forthepeople.agency/" TargetMode="External"/><Relationship Id="rId115" Type="http://schemas.openxmlformats.org/officeDocument/2006/relationships/hyperlink" Target="http://artofmultimedia.com.au/" TargetMode="External"/><Relationship Id="rId157" Type="http://schemas.openxmlformats.org/officeDocument/2006/relationships/hyperlink" Target="http://www.foundatsea.co/" TargetMode="External"/><Relationship Id="rId322" Type="http://schemas.openxmlformats.org/officeDocument/2006/relationships/hyperlink" Target="mailto:ash@audienceproductions.com" TargetMode="External"/><Relationship Id="rId364" Type="http://schemas.openxmlformats.org/officeDocument/2006/relationships/hyperlink" Target="https://struber.com.a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9D609-A65D-435A-8BDB-6F9E734EBC65}">
  <dimension ref="A1:BO270"/>
  <sheetViews>
    <sheetView tabSelected="1" zoomScale="55" zoomScaleNormal="55" workbookViewId="0">
      <pane ySplit="3" topLeftCell="A4" activePane="bottomLeft" state="frozen"/>
      <selection pane="bottomLeft"/>
    </sheetView>
  </sheetViews>
  <sheetFormatPr defaultColWidth="8.7265625" defaultRowHeight="28.5" customHeight="1" x14ac:dyDescent="0.35"/>
  <cols>
    <col min="1" max="1" width="34.81640625" style="2" bestFit="1" customWidth="1"/>
    <col min="2" max="2" width="15.26953125" style="2" customWidth="1"/>
    <col min="3" max="3" width="25.1796875" style="2" customWidth="1"/>
    <col min="4" max="4" width="23.81640625" style="2" customWidth="1"/>
    <col min="5" max="5" width="34.81640625" style="2" customWidth="1"/>
    <col min="6" max="6" width="13.54296875" style="2" customWidth="1"/>
    <col min="7" max="7" width="18.26953125" style="2" customWidth="1"/>
    <col min="8" max="8" width="15.81640625" style="2" customWidth="1"/>
    <col min="9" max="9" width="14.54296875" style="2" customWidth="1"/>
    <col min="10" max="10" width="41.7265625" style="2" customWidth="1"/>
    <col min="11" max="11" width="48.1796875" style="2" customWidth="1"/>
    <col min="12" max="22" width="33.1796875" style="2" customWidth="1"/>
    <col min="23" max="23" width="33" style="2" customWidth="1"/>
    <col min="24" max="67" width="33.1796875" style="2" customWidth="1"/>
    <col min="68" max="16384" width="8.7265625" style="1"/>
  </cols>
  <sheetData>
    <row r="1" spans="1:67" s="74" customFormat="1" ht="67.5" customHeight="1" thickBot="1" x14ac:dyDescent="0.4">
      <c r="A1" s="65" t="s">
        <v>0</v>
      </c>
      <c r="B1" s="73"/>
      <c r="C1" s="73"/>
      <c r="D1" s="73"/>
      <c r="E1" s="73"/>
      <c r="F1" s="73"/>
      <c r="G1" s="73"/>
      <c r="I1" s="74" t="s">
        <v>1439</v>
      </c>
    </row>
    <row r="2" spans="1:67" ht="28.5" customHeight="1" thickBot="1" x14ac:dyDescent="0.4">
      <c r="A2" s="85" t="s">
        <v>1</v>
      </c>
      <c r="B2" s="84" t="s">
        <v>2</v>
      </c>
      <c r="C2" s="84" t="s">
        <v>3</v>
      </c>
      <c r="D2" s="84" t="s">
        <v>4</v>
      </c>
      <c r="E2" s="84" t="s">
        <v>5</v>
      </c>
      <c r="F2" s="84" t="s">
        <v>6</v>
      </c>
      <c r="G2" s="84" t="s">
        <v>7</v>
      </c>
      <c r="H2" s="84" t="s">
        <v>8</v>
      </c>
      <c r="I2" s="84" t="s">
        <v>9</v>
      </c>
      <c r="J2" s="84" t="s">
        <v>10</v>
      </c>
      <c r="K2" s="82" t="s">
        <v>11</v>
      </c>
      <c r="L2" s="88" t="s">
        <v>12</v>
      </c>
      <c r="M2" s="89"/>
      <c r="N2" s="89"/>
      <c r="O2" s="89"/>
      <c r="P2" s="89"/>
      <c r="Q2" s="90"/>
      <c r="R2" s="91" t="s">
        <v>13</v>
      </c>
      <c r="S2" s="92"/>
      <c r="T2" s="92"/>
      <c r="U2" s="92"/>
      <c r="V2" s="93"/>
      <c r="W2" s="94" t="s">
        <v>14</v>
      </c>
      <c r="X2" s="95"/>
      <c r="Y2" s="95"/>
      <c r="Z2" s="95"/>
      <c r="AA2" s="96"/>
      <c r="AB2" s="97" t="s">
        <v>15</v>
      </c>
      <c r="AC2" s="98"/>
      <c r="AD2" s="99"/>
      <c r="AE2" s="100" t="s">
        <v>16</v>
      </c>
      <c r="AF2" s="101"/>
      <c r="AG2" s="101"/>
      <c r="AH2" s="101"/>
      <c r="AI2" s="102"/>
      <c r="AJ2" s="103" t="s">
        <v>17</v>
      </c>
      <c r="AK2" s="104"/>
      <c r="AL2" s="104"/>
      <c r="AM2" s="104"/>
      <c r="AN2" s="105"/>
      <c r="AO2" s="106" t="s">
        <v>18</v>
      </c>
      <c r="AP2" s="107"/>
      <c r="AQ2" s="107"/>
      <c r="AR2" s="107"/>
      <c r="AS2" s="107"/>
      <c r="AT2" s="108"/>
      <c r="AU2" s="109" t="s">
        <v>19</v>
      </c>
      <c r="AV2" s="110"/>
      <c r="AW2" s="110"/>
      <c r="AX2" s="111"/>
      <c r="AY2" s="112" t="s">
        <v>20</v>
      </c>
      <c r="AZ2" s="113"/>
      <c r="BA2" s="114" t="s">
        <v>21</v>
      </c>
      <c r="BB2" s="115"/>
      <c r="BC2" s="115"/>
      <c r="BD2" s="115"/>
      <c r="BE2" s="115"/>
      <c r="BF2" s="115"/>
      <c r="BG2" s="116"/>
      <c r="BH2" s="86" t="s">
        <v>22</v>
      </c>
      <c r="BI2" s="86"/>
      <c r="BJ2" s="86"/>
      <c r="BK2" s="86"/>
      <c r="BL2" s="86"/>
      <c r="BM2" s="86"/>
      <c r="BN2" s="86"/>
      <c r="BO2" s="87"/>
    </row>
    <row r="3" spans="1:67" ht="49" customHeight="1" x14ac:dyDescent="0.35">
      <c r="A3" s="85"/>
      <c r="B3" s="84"/>
      <c r="C3" s="84"/>
      <c r="D3" s="84"/>
      <c r="E3" s="84"/>
      <c r="F3" s="84"/>
      <c r="G3" s="84"/>
      <c r="H3" s="84"/>
      <c r="I3" s="84"/>
      <c r="J3" s="84"/>
      <c r="K3" s="83"/>
      <c r="L3" s="3" t="s">
        <v>23</v>
      </c>
      <c r="M3" s="4" t="s">
        <v>24</v>
      </c>
      <c r="N3" s="4" t="s">
        <v>25</v>
      </c>
      <c r="O3" s="4" t="s">
        <v>26</v>
      </c>
      <c r="P3" s="4" t="s">
        <v>27</v>
      </c>
      <c r="Q3" s="5" t="s">
        <v>28</v>
      </c>
      <c r="R3" s="6" t="s">
        <v>29</v>
      </c>
      <c r="S3" s="7" t="s">
        <v>30</v>
      </c>
      <c r="T3" s="7" t="s">
        <v>31</v>
      </c>
      <c r="U3" s="7" t="s">
        <v>32</v>
      </c>
      <c r="V3" s="8" t="s">
        <v>33</v>
      </c>
      <c r="W3" s="9" t="s">
        <v>34</v>
      </c>
      <c r="X3" s="10" t="s">
        <v>35</v>
      </c>
      <c r="Y3" s="10" t="s">
        <v>36</v>
      </c>
      <c r="Z3" s="10" t="s">
        <v>37</v>
      </c>
      <c r="AA3" s="11" t="s">
        <v>38</v>
      </c>
      <c r="AB3" s="12" t="s">
        <v>39</v>
      </c>
      <c r="AC3" s="13" t="s">
        <v>40</v>
      </c>
      <c r="AD3" s="14" t="s">
        <v>41</v>
      </c>
      <c r="AE3" s="15" t="s">
        <v>42</v>
      </c>
      <c r="AF3" s="16" t="s">
        <v>43</v>
      </c>
      <c r="AG3" s="16" t="s">
        <v>44</v>
      </c>
      <c r="AH3" s="16" t="s">
        <v>45</v>
      </c>
      <c r="AI3" s="17" t="s">
        <v>46</v>
      </c>
      <c r="AJ3" s="18" t="s">
        <v>47</v>
      </c>
      <c r="AK3" s="19" t="s">
        <v>48</v>
      </c>
      <c r="AL3" s="20" t="s">
        <v>49</v>
      </c>
      <c r="AM3" s="19" t="s">
        <v>50</v>
      </c>
      <c r="AN3" s="21" t="s">
        <v>51</v>
      </c>
      <c r="AO3" s="22" t="s">
        <v>52</v>
      </c>
      <c r="AP3" s="23" t="s">
        <v>53</v>
      </c>
      <c r="AQ3" s="23" t="s">
        <v>54</v>
      </c>
      <c r="AR3" s="23" t="s">
        <v>55</v>
      </c>
      <c r="AS3" s="23" t="s">
        <v>56</v>
      </c>
      <c r="AT3" s="24" t="s">
        <v>57</v>
      </c>
      <c r="AU3" s="25" t="s">
        <v>58</v>
      </c>
      <c r="AV3" s="26" t="s">
        <v>59</v>
      </c>
      <c r="AW3" s="26" t="s">
        <v>60</v>
      </c>
      <c r="AX3" s="27" t="s">
        <v>61</v>
      </c>
      <c r="AY3" s="28" t="s">
        <v>62</v>
      </c>
      <c r="AZ3" s="79" t="s">
        <v>63</v>
      </c>
      <c r="BA3" s="76" t="s">
        <v>64</v>
      </c>
      <c r="BB3" s="77" t="s">
        <v>65</v>
      </c>
      <c r="BC3" s="77" t="s">
        <v>66</v>
      </c>
      <c r="BD3" s="77" t="s">
        <v>67</v>
      </c>
      <c r="BE3" s="77" t="s">
        <v>68</v>
      </c>
      <c r="BF3" s="77" t="s">
        <v>69</v>
      </c>
      <c r="BG3" s="78" t="s">
        <v>70</v>
      </c>
      <c r="BH3" s="75" t="s">
        <v>71</v>
      </c>
      <c r="BI3" s="62" t="s">
        <v>72</v>
      </c>
      <c r="BJ3" s="63" t="s">
        <v>73</v>
      </c>
      <c r="BK3" s="63" t="s">
        <v>74</v>
      </c>
      <c r="BL3" s="63" t="s">
        <v>75</v>
      </c>
      <c r="BM3" s="63" t="s">
        <v>76</v>
      </c>
      <c r="BN3" s="63" t="s">
        <v>77</v>
      </c>
      <c r="BO3" s="63" t="s">
        <v>78</v>
      </c>
    </row>
    <row r="4" spans="1:67" ht="28.5" customHeight="1" x14ac:dyDescent="0.35">
      <c r="A4" s="66" t="s">
        <v>79</v>
      </c>
      <c r="B4" s="66">
        <v>44617164020</v>
      </c>
      <c r="C4" s="66" t="s">
        <v>80</v>
      </c>
      <c r="D4" s="66" t="s">
        <v>81</v>
      </c>
      <c r="E4" s="66" t="s">
        <v>82</v>
      </c>
      <c r="F4" s="66" t="s">
        <v>83</v>
      </c>
      <c r="G4" s="66">
        <v>2095</v>
      </c>
      <c r="H4" s="67"/>
      <c r="I4" s="67" t="s">
        <v>84</v>
      </c>
      <c r="J4" s="68" t="s">
        <v>85</v>
      </c>
      <c r="K4" s="68" t="s">
        <v>86</v>
      </c>
      <c r="L4" s="29"/>
      <c r="M4" s="30"/>
      <c r="N4" s="30"/>
      <c r="O4" s="30"/>
      <c r="P4" s="30"/>
      <c r="Q4" s="31"/>
      <c r="R4" s="32"/>
      <c r="S4" s="33" t="s">
        <v>87</v>
      </c>
      <c r="T4" s="33"/>
      <c r="U4" s="33"/>
      <c r="V4" s="34" t="s">
        <v>87</v>
      </c>
      <c r="W4" s="35"/>
      <c r="X4" s="36" t="s">
        <v>87</v>
      </c>
      <c r="Y4" s="36"/>
      <c r="Z4" s="36" t="s">
        <v>87</v>
      </c>
      <c r="AA4" s="37"/>
      <c r="AB4" s="38"/>
      <c r="AC4" s="39"/>
      <c r="AD4" s="40"/>
      <c r="AE4" s="41"/>
      <c r="AF4" s="42"/>
      <c r="AG4" s="42"/>
      <c r="AH4" s="42"/>
      <c r="AI4" s="43"/>
      <c r="AJ4" s="44"/>
      <c r="AK4" s="45"/>
      <c r="AL4" s="45"/>
      <c r="AM4" s="45"/>
      <c r="AN4" s="46"/>
      <c r="AO4" s="47"/>
      <c r="AP4" s="48"/>
      <c r="AQ4" s="48"/>
      <c r="AR4" s="48"/>
      <c r="AS4" s="48"/>
      <c r="AT4" s="49"/>
      <c r="AU4" s="50" t="s">
        <v>87</v>
      </c>
      <c r="AV4" s="51"/>
      <c r="AW4" s="51" t="s">
        <v>87</v>
      </c>
      <c r="AX4" s="52"/>
      <c r="AY4" s="53"/>
      <c r="AZ4" s="80"/>
      <c r="BA4" s="54"/>
      <c r="BB4" s="55"/>
      <c r="BC4" s="55"/>
      <c r="BD4" s="55"/>
      <c r="BE4" s="55"/>
      <c r="BF4" s="55"/>
      <c r="BG4" s="56"/>
      <c r="BH4" s="57"/>
      <c r="BI4" s="58"/>
      <c r="BJ4" s="58"/>
      <c r="BK4" s="58"/>
      <c r="BL4" s="58"/>
      <c r="BM4" s="58"/>
      <c r="BN4" s="58"/>
      <c r="BO4" s="58"/>
    </row>
    <row r="5" spans="1:67" ht="28.5" customHeight="1" x14ac:dyDescent="0.35">
      <c r="A5" s="66" t="s">
        <v>88</v>
      </c>
      <c r="B5" s="66">
        <v>19602191926</v>
      </c>
      <c r="C5" s="66" t="s">
        <v>87</v>
      </c>
      <c r="D5" s="66" t="s">
        <v>89</v>
      </c>
      <c r="E5" s="66" t="s">
        <v>90</v>
      </c>
      <c r="F5" s="66" t="s">
        <v>83</v>
      </c>
      <c r="G5" s="66" t="str">
        <f>"2015"</f>
        <v>2015</v>
      </c>
      <c r="H5" s="66" t="str">
        <f>"02 9516 3466"</f>
        <v>02 9516 3466</v>
      </c>
      <c r="I5" s="66" t="str">
        <f>"0412944144"</f>
        <v>0412944144</v>
      </c>
      <c r="J5" s="68" t="s">
        <v>91</v>
      </c>
      <c r="K5" s="68" t="s">
        <v>92</v>
      </c>
      <c r="L5" s="59"/>
      <c r="M5" s="60"/>
      <c r="N5" s="60"/>
      <c r="O5" s="60"/>
      <c r="P5" s="60"/>
      <c r="Q5" s="61"/>
      <c r="R5" s="32"/>
      <c r="S5" s="33"/>
      <c r="T5" s="33"/>
      <c r="U5" s="33"/>
      <c r="V5" s="34"/>
      <c r="W5" s="35"/>
      <c r="X5" s="36"/>
      <c r="Y5" s="36"/>
      <c r="Z5" s="36"/>
      <c r="AA5" s="37"/>
      <c r="AB5" s="38"/>
      <c r="AC5" s="39"/>
      <c r="AD5" s="40"/>
      <c r="AE5" s="41"/>
      <c r="AF5" s="42"/>
      <c r="AG5" s="42"/>
      <c r="AH5" s="42"/>
      <c r="AI5" s="43"/>
      <c r="AJ5" s="44" t="s">
        <v>87</v>
      </c>
      <c r="AK5" s="45" t="s">
        <v>87</v>
      </c>
      <c r="AL5" s="45" t="s">
        <v>87</v>
      </c>
      <c r="AM5" s="45" t="s">
        <v>87</v>
      </c>
      <c r="AN5" s="46" t="s">
        <v>87</v>
      </c>
      <c r="AO5" s="47"/>
      <c r="AP5" s="48"/>
      <c r="AQ5" s="48"/>
      <c r="AR5" s="48"/>
      <c r="AS5" s="48"/>
      <c r="AT5" s="49"/>
      <c r="AU5" s="50" t="s">
        <v>87</v>
      </c>
      <c r="AV5" s="51" t="s">
        <v>87</v>
      </c>
      <c r="AW5" s="51" t="s">
        <v>87</v>
      </c>
      <c r="AX5" s="52" t="s">
        <v>87</v>
      </c>
      <c r="AY5" s="53"/>
      <c r="AZ5" s="80"/>
      <c r="BA5" s="54"/>
      <c r="BB5" s="55"/>
      <c r="BC5" s="55"/>
      <c r="BD5" s="55"/>
      <c r="BE5" s="55"/>
      <c r="BF5" s="55"/>
      <c r="BG5" s="56"/>
      <c r="BH5" s="57" t="s">
        <v>87</v>
      </c>
      <c r="BI5" s="58" t="s">
        <v>87</v>
      </c>
      <c r="BJ5" s="58" t="s">
        <v>87</v>
      </c>
      <c r="BK5" s="58" t="s">
        <v>87</v>
      </c>
      <c r="BL5" s="58" t="s">
        <v>87</v>
      </c>
      <c r="BM5" s="58" t="s">
        <v>87</v>
      </c>
      <c r="BN5" s="58" t="s">
        <v>87</v>
      </c>
      <c r="BO5" s="58" t="s">
        <v>87</v>
      </c>
    </row>
    <row r="6" spans="1:67" ht="28.5" customHeight="1" x14ac:dyDescent="0.35">
      <c r="A6" s="66" t="s">
        <v>93</v>
      </c>
      <c r="B6" s="66">
        <v>98131937098</v>
      </c>
      <c r="C6" s="66" t="s">
        <v>80</v>
      </c>
      <c r="D6" s="66" t="s">
        <v>94</v>
      </c>
      <c r="E6" s="66" t="s">
        <v>95</v>
      </c>
      <c r="F6" s="66" t="s">
        <v>83</v>
      </c>
      <c r="G6" s="66">
        <v>2250</v>
      </c>
      <c r="H6" s="66" t="s">
        <v>96</v>
      </c>
      <c r="I6" s="67" t="s">
        <v>97</v>
      </c>
      <c r="J6" s="68" t="s">
        <v>98</v>
      </c>
      <c r="K6" s="68" t="s">
        <v>99</v>
      </c>
      <c r="L6" s="59"/>
      <c r="M6" s="60"/>
      <c r="N6" s="60"/>
      <c r="O6" s="60"/>
      <c r="P6" s="60"/>
      <c r="Q6" s="61"/>
      <c r="R6" s="32"/>
      <c r="S6" s="33"/>
      <c r="T6" s="33"/>
      <c r="U6" s="33"/>
      <c r="V6" s="34"/>
      <c r="W6" s="35"/>
      <c r="X6" s="36"/>
      <c r="Y6" s="36"/>
      <c r="Z6" s="36"/>
      <c r="AA6" s="37"/>
      <c r="AB6" s="38"/>
      <c r="AC6" s="39"/>
      <c r="AD6" s="40"/>
      <c r="AE6" s="41"/>
      <c r="AF6" s="42"/>
      <c r="AG6" s="42"/>
      <c r="AH6" s="42"/>
      <c r="AI6" s="43"/>
      <c r="AJ6" s="44"/>
      <c r="AK6" s="45"/>
      <c r="AL6" s="45"/>
      <c r="AM6" s="45"/>
      <c r="AN6" s="46"/>
      <c r="AO6" s="47"/>
      <c r="AP6" s="48"/>
      <c r="AQ6" s="48"/>
      <c r="AR6" s="48"/>
      <c r="AS6" s="48"/>
      <c r="AT6" s="49"/>
      <c r="AU6" s="50"/>
      <c r="AV6" s="51"/>
      <c r="AW6" s="51"/>
      <c r="AX6" s="52"/>
      <c r="AY6" s="53"/>
      <c r="AZ6" s="80"/>
      <c r="BA6" s="54"/>
      <c r="BB6" s="55"/>
      <c r="BC6" s="55"/>
      <c r="BD6" s="55"/>
      <c r="BE6" s="55"/>
      <c r="BF6" s="55"/>
      <c r="BG6" s="56"/>
      <c r="BH6" s="57" t="s">
        <v>87</v>
      </c>
      <c r="BI6" s="58" t="s">
        <v>87</v>
      </c>
      <c r="BJ6" s="58" t="s">
        <v>87</v>
      </c>
      <c r="BK6" s="58" t="s">
        <v>87</v>
      </c>
      <c r="BL6" s="58"/>
      <c r="BM6" s="58"/>
      <c r="BN6" s="58" t="s">
        <v>87</v>
      </c>
      <c r="BO6" s="58" t="s">
        <v>87</v>
      </c>
    </row>
    <row r="7" spans="1:67" ht="28.5" customHeight="1" x14ac:dyDescent="0.35">
      <c r="A7" s="66" t="s">
        <v>100</v>
      </c>
      <c r="B7" s="66">
        <v>38120013041</v>
      </c>
      <c r="C7" s="66" t="s">
        <v>80</v>
      </c>
      <c r="D7" s="66" t="s">
        <v>101</v>
      </c>
      <c r="E7" s="66" t="s">
        <v>90</v>
      </c>
      <c r="F7" s="66" t="s">
        <v>83</v>
      </c>
      <c r="G7" s="66" t="str">
        <f>"2039"</f>
        <v>2039</v>
      </c>
      <c r="H7" s="66" t="str">
        <f>"02 9818 6544"</f>
        <v>02 9818 6544</v>
      </c>
      <c r="I7" s="66" t="str">
        <f>"0412551275"</f>
        <v>0412551275</v>
      </c>
      <c r="J7" s="68" t="s">
        <v>102</v>
      </c>
      <c r="K7" s="68" t="s">
        <v>103</v>
      </c>
      <c r="L7" s="59"/>
      <c r="M7" s="60"/>
      <c r="N7" s="60"/>
      <c r="O7" s="60"/>
      <c r="P7" s="60"/>
      <c r="Q7" s="61"/>
      <c r="R7" s="32"/>
      <c r="S7" s="33"/>
      <c r="T7" s="33"/>
      <c r="U7" s="33"/>
      <c r="V7" s="34"/>
      <c r="W7" s="35" t="s">
        <v>87</v>
      </c>
      <c r="X7" s="36"/>
      <c r="Y7" s="36"/>
      <c r="Z7" s="36" t="s">
        <v>87</v>
      </c>
      <c r="AA7" s="37" t="s">
        <v>87</v>
      </c>
      <c r="AB7" s="38"/>
      <c r="AC7" s="39"/>
      <c r="AD7" s="40"/>
      <c r="AE7" s="41"/>
      <c r="AF7" s="42"/>
      <c r="AG7" s="42"/>
      <c r="AH7" s="42"/>
      <c r="AI7" s="43"/>
      <c r="AJ7" s="44"/>
      <c r="AK7" s="45"/>
      <c r="AL7" s="45"/>
      <c r="AM7" s="45"/>
      <c r="AN7" s="46"/>
      <c r="AO7" s="47"/>
      <c r="AP7" s="48"/>
      <c r="AQ7" s="48"/>
      <c r="AR7" s="48"/>
      <c r="AS7" s="48"/>
      <c r="AT7" s="49"/>
      <c r="AU7" s="50"/>
      <c r="AV7" s="51"/>
      <c r="AW7" s="51"/>
      <c r="AX7" s="52"/>
      <c r="AY7" s="53"/>
      <c r="AZ7" s="80"/>
      <c r="BA7" s="54"/>
      <c r="BB7" s="55"/>
      <c r="BC7" s="55"/>
      <c r="BD7" s="55"/>
      <c r="BE7" s="55"/>
      <c r="BF7" s="55"/>
      <c r="BG7" s="56"/>
      <c r="BH7" s="57"/>
      <c r="BI7" s="58"/>
      <c r="BJ7" s="58"/>
      <c r="BK7" s="58"/>
      <c r="BL7" s="58"/>
      <c r="BM7" s="58"/>
      <c r="BN7" s="58"/>
      <c r="BO7" s="58"/>
    </row>
    <row r="8" spans="1:67" ht="28.5" customHeight="1" x14ac:dyDescent="0.35">
      <c r="A8" s="66" t="s">
        <v>104</v>
      </c>
      <c r="B8" s="66">
        <v>41140993415</v>
      </c>
      <c r="C8" s="66" t="s">
        <v>80</v>
      </c>
      <c r="D8" s="66" t="s">
        <v>105</v>
      </c>
      <c r="E8" s="66" t="s">
        <v>106</v>
      </c>
      <c r="F8" s="66" t="s">
        <v>107</v>
      </c>
      <c r="G8" s="66">
        <v>2600</v>
      </c>
      <c r="H8" s="66" t="s">
        <v>108</v>
      </c>
      <c r="I8" s="67" t="s">
        <v>109</v>
      </c>
      <c r="J8" s="68" t="s">
        <v>110</v>
      </c>
      <c r="K8" s="68" t="s">
        <v>111</v>
      </c>
      <c r="L8" s="59"/>
      <c r="M8" s="60"/>
      <c r="N8" s="60"/>
      <c r="O8" s="60"/>
      <c r="P8" s="60"/>
      <c r="Q8" s="61"/>
      <c r="R8" s="32"/>
      <c r="S8" s="33"/>
      <c r="T8" s="33"/>
      <c r="U8" s="33"/>
      <c r="V8" s="34"/>
      <c r="W8" s="35"/>
      <c r="X8" s="36"/>
      <c r="Y8" s="36"/>
      <c r="Z8" s="36"/>
      <c r="AA8" s="37"/>
      <c r="AB8" s="38" t="s">
        <v>87</v>
      </c>
      <c r="AC8" s="39" t="s">
        <v>87</v>
      </c>
      <c r="AD8" s="40" t="s">
        <v>87</v>
      </c>
      <c r="AE8" s="41"/>
      <c r="AF8" s="42"/>
      <c r="AG8" s="42"/>
      <c r="AH8" s="42"/>
      <c r="AI8" s="43"/>
      <c r="AJ8" s="44"/>
      <c r="AK8" s="45"/>
      <c r="AL8" s="45"/>
      <c r="AM8" s="45"/>
      <c r="AN8" s="46"/>
      <c r="AO8" s="47"/>
      <c r="AP8" s="48"/>
      <c r="AQ8" s="48"/>
      <c r="AR8" s="48"/>
      <c r="AS8" s="48"/>
      <c r="AT8" s="49"/>
      <c r="AU8" s="50" t="s">
        <v>87</v>
      </c>
      <c r="AV8" s="51" t="s">
        <v>87</v>
      </c>
      <c r="AW8" s="51" t="s">
        <v>87</v>
      </c>
      <c r="AX8" s="52"/>
      <c r="AY8" s="53"/>
      <c r="AZ8" s="80"/>
      <c r="BA8" s="54"/>
      <c r="BB8" s="55"/>
      <c r="BC8" s="55"/>
      <c r="BD8" s="55"/>
      <c r="BE8" s="55"/>
      <c r="BF8" s="55"/>
      <c r="BG8" s="56"/>
      <c r="BH8" s="57"/>
      <c r="BI8" s="58"/>
      <c r="BJ8" s="58"/>
      <c r="BK8" s="58"/>
      <c r="BL8" s="58"/>
      <c r="BM8" s="58"/>
      <c r="BN8" s="58"/>
      <c r="BO8" s="58"/>
    </row>
    <row r="9" spans="1:67" ht="28.5" customHeight="1" x14ac:dyDescent="0.35">
      <c r="A9" s="66" t="s">
        <v>112</v>
      </c>
      <c r="B9" s="66">
        <v>15600234937</v>
      </c>
      <c r="C9" s="66" t="s">
        <v>80</v>
      </c>
      <c r="D9" s="66" t="s">
        <v>113</v>
      </c>
      <c r="E9" s="66" t="s">
        <v>114</v>
      </c>
      <c r="F9" s="66" t="s">
        <v>115</v>
      </c>
      <c r="G9" s="66">
        <v>4217</v>
      </c>
      <c r="H9" s="67"/>
      <c r="I9" s="67" t="s">
        <v>116</v>
      </c>
      <c r="J9" s="68" t="s">
        <v>117</v>
      </c>
      <c r="K9" s="68" t="s">
        <v>118</v>
      </c>
      <c r="L9" s="59"/>
      <c r="M9" s="60"/>
      <c r="N9" s="60"/>
      <c r="O9" s="60"/>
      <c r="P9" s="60"/>
      <c r="Q9" s="61"/>
      <c r="R9" s="32"/>
      <c r="S9" s="33"/>
      <c r="T9" s="33"/>
      <c r="U9" s="33"/>
      <c r="V9" s="34"/>
      <c r="W9" s="35"/>
      <c r="X9" s="36"/>
      <c r="Y9" s="36"/>
      <c r="Z9" s="36"/>
      <c r="AA9" s="37"/>
      <c r="AB9" s="38"/>
      <c r="AC9" s="39"/>
      <c r="AD9" s="40"/>
      <c r="AE9" s="41"/>
      <c r="AF9" s="42"/>
      <c r="AG9" s="42"/>
      <c r="AH9" s="42"/>
      <c r="AI9" s="43"/>
      <c r="AJ9" s="44"/>
      <c r="AK9" s="45"/>
      <c r="AL9" s="45"/>
      <c r="AM9" s="45"/>
      <c r="AN9" s="46"/>
      <c r="AO9" s="47"/>
      <c r="AP9" s="48"/>
      <c r="AQ9" s="48"/>
      <c r="AR9" s="48"/>
      <c r="AS9" s="48"/>
      <c r="AT9" s="49"/>
      <c r="AU9" s="50"/>
      <c r="AV9" s="51"/>
      <c r="AW9" s="51"/>
      <c r="AX9" s="52"/>
      <c r="AY9" s="53"/>
      <c r="AZ9" s="80"/>
      <c r="BA9" s="54"/>
      <c r="BB9" s="55"/>
      <c r="BC9" s="55"/>
      <c r="BD9" s="55"/>
      <c r="BE9" s="55"/>
      <c r="BF9" s="55"/>
      <c r="BG9" s="56"/>
      <c r="BH9" s="57" t="s">
        <v>87</v>
      </c>
      <c r="BI9" s="58"/>
      <c r="BJ9" s="58"/>
      <c r="BK9" s="58"/>
      <c r="BL9" s="58"/>
      <c r="BM9" s="58"/>
      <c r="BN9" s="58" t="s">
        <v>87</v>
      </c>
      <c r="BO9" s="58" t="s">
        <v>87</v>
      </c>
    </row>
    <row r="10" spans="1:67" ht="28.5" customHeight="1" x14ac:dyDescent="0.35">
      <c r="A10" s="69" t="s">
        <v>119</v>
      </c>
      <c r="B10" s="69">
        <v>84630326742</v>
      </c>
      <c r="C10" s="69" t="s">
        <v>80</v>
      </c>
      <c r="D10" s="69" t="s">
        <v>120</v>
      </c>
      <c r="E10" s="69" t="s">
        <v>121</v>
      </c>
      <c r="F10" s="69" t="s">
        <v>83</v>
      </c>
      <c r="G10" s="69">
        <v>2037</v>
      </c>
      <c r="H10" s="69" t="s">
        <v>122</v>
      </c>
      <c r="I10" s="71" t="s">
        <v>123</v>
      </c>
      <c r="J10" s="70" t="s">
        <v>124</v>
      </c>
      <c r="K10" s="70" t="s">
        <v>125</v>
      </c>
      <c r="L10" s="59"/>
      <c r="M10" s="60"/>
      <c r="N10" s="60"/>
      <c r="O10" s="60"/>
      <c r="P10" s="60"/>
      <c r="Q10" s="61"/>
      <c r="R10" s="32"/>
      <c r="S10" s="33"/>
      <c r="T10" s="33"/>
      <c r="U10" s="33"/>
      <c r="V10" s="34"/>
      <c r="W10" s="35"/>
      <c r="X10" s="36"/>
      <c r="Y10" s="36"/>
      <c r="Z10" s="36"/>
      <c r="AA10" s="37"/>
      <c r="AB10" s="38"/>
      <c r="AC10" s="39"/>
      <c r="AD10" s="40"/>
      <c r="AE10" s="41"/>
      <c r="AF10" s="42"/>
      <c r="AG10" s="42"/>
      <c r="AH10" s="42"/>
      <c r="AI10" s="43"/>
      <c r="AJ10" s="44"/>
      <c r="AK10" s="45"/>
      <c r="AL10" s="45"/>
      <c r="AM10" s="45"/>
      <c r="AN10" s="46"/>
      <c r="AO10" s="47"/>
      <c r="AP10" s="48"/>
      <c r="AQ10" s="48"/>
      <c r="AR10" s="48"/>
      <c r="AS10" s="48"/>
      <c r="AT10" s="49"/>
      <c r="AU10" s="50"/>
      <c r="AV10" s="51"/>
      <c r="AW10" s="51"/>
      <c r="AX10" s="52"/>
      <c r="AY10" s="53"/>
      <c r="AZ10" s="80"/>
      <c r="BA10" s="54"/>
      <c r="BB10" s="55"/>
      <c r="BC10" s="55"/>
      <c r="BD10" s="55"/>
      <c r="BE10" s="55"/>
      <c r="BF10" s="55"/>
      <c r="BG10" s="56"/>
      <c r="BH10" s="57"/>
      <c r="BI10" s="58"/>
      <c r="BJ10" s="58"/>
      <c r="BK10" s="58"/>
      <c r="BL10" s="58" t="s">
        <v>87</v>
      </c>
      <c r="BM10" s="58" t="s">
        <v>87</v>
      </c>
      <c r="BN10" s="58"/>
      <c r="BO10" s="58"/>
    </row>
    <row r="11" spans="1:67" ht="28.5" customHeight="1" x14ac:dyDescent="0.35">
      <c r="A11" s="66" t="s">
        <v>126</v>
      </c>
      <c r="B11" s="66">
        <v>24117583598</v>
      </c>
      <c r="C11" s="66" t="s">
        <v>80</v>
      </c>
      <c r="D11" s="66" t="s">
        <v>127</v>
      </c>
      <c r="E11" s="66" t="s">
        <v>90</v>
      </c>
      <c r="F11" s="66" t="s">
        <v>83</v>
      </c>
      <c r="G11" s="66" t="str">
        <f>"2217"</f>
        <v>2217</v>
      </c>
      <c r="H11" s="66" t="str">
        <f>"02 8007 4616"</f>
        <v>02 8007 4616</v>
      </c>
      <c r="I11" s="66" t="str">
        <f>""</f>
        <v/>
      </c>
      <c r="J11" s="68" t="s">
        <v>128</v>
      </c>
      <c r="K11" s="68" t="s">
        <v>129</v>
      </c>
      <c r="L11" s="59"/>
      <c r="M11" s="60"/>
      <c r="N11" s="60"/>
      <c r="O11" s="60"/>
      <c r="P11" s="60"/>
      <c r="Q11" s="61"/>
      <c r="R11" s="32" t="s">
        <v>87</v>
      </c>
      <c r="S11" s="33"/>
      <c r="T11" s="33"/>
      <c r="U11" s="33"/>
      <c r="V11" s="34" t="s">
        <v>87</v>
      </c>
      <c r="W11" s="35" t="s">
        <v>87</v>
      </c>
      <c r="X11" s="36" t="s">
        <v>87</v>
      </c>
      <c r="Y11" s="36" t="s">
        <v>87</v>
      </c>
      <c r="Z11" s="36"/>
      <c r="AA11" s="37"/>
      <c r="AB11" s="38"/>
      <c r="AC11" s="39"/>
      <c r="AD11" s="40"/>
      <c r="AE11" s="41"/>
      <c r="AF11" s="42"/>
      <c r="AG11" s="42"/>
      <c r="AH11" s="42"/>
      <c r="AI11" s="43"/>
      <c r="AJ11" s="44"/>
      <c r="AK11" s="45"/>
      <c r="AL11" s="45"/>
      <c r="AM11" s="45"/>
      <c r="AN11" s="46"/>
      <c r="AO11" s="47"/>
      <c r="AP11" s="48"/>
      <c r="AQ11" s="48"/>
      <c r="AR11" s="48"/>
      <c r="AS11" s="48"/>
      <c r="AT11" s="49"/>
      <c r="AU11" s="50" t="s">
        <v>87</v>
      </c>
      <c r="AV11" s="51" t="s">
        <v>87</v>
      </c>
      <c r="AW11" s="51" t="s">
        <v>87</v>
      </c>
      <c r="AX11" s="52"/>
      <c r="AY11" s="53"/>
      <c r="AZ11" s="80"/>
      <c r="BA11" s="54"/>
      <c r="BB11" s="55"/>
      <c r="BC11" s="55"/>
      <c r="BD11" s="55"/>
      <c r="BE11" s="55"/>
      <c r="BF11" s="55"/>
      <c r="BG11" s="56"/>
      <c r="BH11" s="57"/>
      <c r="BI11" s="58"/>
      <c r="BJ11" s="58"/>
      <c r="BK11" s="58"/>
      <c r="BL11" s="58"/>
      <c r="BM11" s="58"/>
      <c r="BN11" s="58"/>
      <c r="BO11" s="58"/>
    </row>
    <row r="12" spans="1:67" ht="28.5" customHeight="1" x14ac:dyDescent="0.35">
      <c r="A12" s="69" t="s">
        <v>130</v>
      </c>
      <c r="B12" s="69">
        <v>39153093111</v>
      </c>
      <c r="C12" s="69" t="s">
        <v>80</v>
      </c>
      <c r="D12" s="69" t="s">
        <v>131</v>
      </c>
      <c r="E12" s="69" t="s">
        <v>132</v>
      </c>
      <c r="F12" s="69" t="s">
        <v>83</v>
      </c>
      <c r="G12" s="69">
        <v>2000</v>
      </c>
      <c r="H12" s="69" t="s">
        <v>133</v>
      </c>
      <c r="I12" s="71" t="s">
        <v>134</v>
      </c>
      <c r="J12" s="70" t="s">
        <v>135</v>
      </c>
      <c r="K12" s="70" t="s">
        <v>136</v>
      </c>
      <c r="L12" s="59"/>
      <c r="M12" s="60"/>
      <c r="N12" s="60"/>
      <c r="O12" s="60"/>
      <c r="P12" s="60"/>
      <c r="Q12" s="61"/>
      <c r="R12" s="32"/>
      <c r="S12" s="33"/>
      <c r="T12" s="33"/>
      <c r="U12" s="33"/>
      <c r="V12" s="34"/>
      <c r="W12" s="35"/>
      <c r="X12" s="36"/>
      <c r="Y12" s="36"/>
      <c r="Z12" s="36"/>
      <c r="AA12" s="37"/>
      <c r="AB12" s="38"/>
      <c r="AC12" s="39"/>
      <c r="AD12" s="40"/>
      <c r="AE12" s="41"/>
      <c r="AF12" s="42"/>
      <c r="AG12" s="42"/>
      <c r="AH12" s="42"/>
      <c r="AI12" s="43"/>
      <c r="AJ12" s="44"/>
      <c r="AK12" s="45"/>
      <c r="AL12" s="45"/>
      <c r="AM12" s="45"/>
      <c r="AN12" s="46"/>
      <c r="AO12" s="47"/>
      <c r="AP12" s="48"/>
      <c r="AQ12" s="48"/>
      <c r="AR12" s="48"/>
      <c r="AS12" s="48"/>
      <c r="AT12" s="49"/>
      <c r="AU12" s="50" t="s">
        <v>87</v>
      </c>
      <c r="AV12" s="51" t="s">
        <v>87</v>
      </c>
      <c r="AW12" s="51" t="s">
        <v>87</v>
      </c>
      <c r="AX12" s="52" t="s">
        <v>87</v>
      </c>
      <c r="AY12" s="53"/>
      <c r="AZ12" s="80"/>
      <c r="BA12" s="54"/>
      <c r="BB12" s="55"/>
      <c r="BC12" s="55"/>
      <c r="BD12" s="55"/>
      <c r="BE12" s="55"/>
      <c r="BF12" s="55"/>
      <c r="BG12" s="56"/>
      <c r="BH12" s="57"/>
      <c r="BI12" s="58"/>
      <c r="BJ12" s="58"/>
      <c r="BK12" s="58"/>
      <c r="BL12" s="58"/>
      <c r="BM12" s="58"/>
      <c r="BN12" s="58"/>
      <c r="BO12" s="58"/>
    </row>
    <row r="13" spans="1:67" ht="28.5" customHeight="1" x14ac:dyDescent="0.35">
      <c r="A13" s="66" t="s">
        <v>137</v>
      </c>
      <c r="B13" s="66">
        <v>75160381706</v>
      </c>
      <c r="C13" s="66" t="s">
        <v>80</v>
      </c>
      <c r="D13" s="66" t="s">
        <v>138</v>
      </c>
      <c r="E13" s="66" t="s">
        <v>139</v>
      </c>
      <c r="F13" s="66" t="s">
        <v>83</v>
      </c>
      <c r="G13" s="66" t="str">
        <f>"2100"</f>
        <v>2100</v>
      </c>
      <c r="H13" s="66"/>
      <c r="I13" s="66" t="str">
        <f>"0411894630"</f>
        <v>0411894630</v>
      </c>
      <c r="J13" s="68" t="s">
        <v>140</v>
      </c>
      <c r="K13" s="68" t="s">
        <v>141</v>
      </c>
      <c r="L13" s="59"/>
      <c r="M13" s="60"/>
      <c r="N13" s="60"/>
      <c r="O13" s="60"/>
      <c r="P13" s="60"/>
      <c r="Q13" s="61"/>
      <c r="R13" s="32"/>
      <c r="S13" s="33"/>
      <c r="T13" s="33"/>
      <c r="U13" s="33"/>
      <c r="V13" s="34"/>
      <c r="W13" s="35"/>
      <c r="X13" s="36"/>
      <c r="Y13" s="36"/>
      <c r="Z13" s="36"/>
      <c r="AA13" s="37"/>
      <c r="AB13" s="38"/>
      <c r="AC13" s="39"/>
      <c r="AD13" s="40"/>
      <c r="AE13" s="41"/>
      <c r="AF13" s="42"/>
      <c r="AG13" s="42"/>
      <c r="AH13" s="42"/>
      <c r="AI13" s="43"/>
      <c r="AJ13" s="44"/>
      <c r="AK13" s="45"/>
      <c r="AL13" s="45"/>
      <c r="AM13" s="45"/>
      <c r="AN13" s="46"/>
      <c r="AO13" s="47"/>
      <c r="AP13" s="48"/>
      <c r="AQ13" s="48"/>
      <c r="AR13" s="48"/>
      <c r="AS13" s="48"/>
      <c r="AT13" s="49"/>
      <c r="AU13" s="50" t="s">
        <v>87</v>
      </c>
      <c r="AV13" s="51" t="s">
        <v>87</v>
      </c>
      <c r="AW13" s="51" t="s">
        <v>87</v>
      </c>
      <c r="AX13" s="52" t="s">
        <v>87</v>
      </c>
      <c r="AY13" s="53"/>
      <c r="AZ13" s="80"/>
      <c r="BA13" s="54"/>
      <c r="BB13" s="55"/>
      <c r="BC13" s="55"/>
      <c r="BD13" s="55"/>
      <c r="BE13" s="55"/>
      <c r="BF13" s="55"/>
      <c r="BG13" s="56"/>
      <c r="BH13" s="57" t="s">
        <v>87</v>
      </c>
      <c r="BI13" s="58" t="s">
        <v>87</v>
      </c>
      <c r="BJ13" s="58" t="s">
        <v>87</v>
      </c>
      <c r="BK13" s="58" t="s">
        <v>87</v>
      </c>
      <c r="BL13" s="58" t="s">
        <v>87</v>
      </c>
      <c r="BM13" s="58" t="s">
        <v>87</v>
      </c>
      <c r="BN13" s="58" t="s">
        <v>87</v>
      </c>
      <c r="BO13" s="58" t="s">
        <v>87</v>
      </c>
    </row>
    <row r="14" spans="1:67" ht="28.5" customHeight="1" x14ac:dyDescent="0.35">
      <c r="A14" s="66" t="s">
        <v>142</v>
      </c>
      <c r="B14" s="66">
        <v>51109250348</v>
      </c>
      <c r="C14" s="66" t="s">
        <v>80</v>
      </c>
      <c r="D14" s="66" t="s">
        <v>143</v>
      </c>
      <c r="E14" s="66" t="s">
        <v>90</v>
      </c>
      <c r="F14" s="66" t="s">
        <v>83</v>
      </c>
      <c r="G14" s="66" t="str">
        <f>"2007"</f>
        <v>2007</v>
      </c>
      <c r="H14" s="66" t="str">
        <f>"02 9280 0550"</f>
        <v>02 9280 0550</v>
      </c>
      <c r="I14" s="66"/>
      <c r="J14" s="68" t="s">
        <v>144</v>
      </c>
      <c r="K14" s="68" t="s">
        <v>145</v>
      </c>
      <c r="L14" s="59" t="s">
        <v>87</v>
      </c>
      <c r="M14" s="60" t="s">
        <v>87</v>
      </c>
      <c r="N14" s="60" t="s">
        <v>87</v>
      </c>
      <c r="O14" s="60" t="s">
        <v>87</v>
      </c>
      <c r="P14" s="60" t="s">
        <v>87</v>
      </c>
      <c r="Q14" s="61" t="s">
        <v>87</v>
      </c>
      <c r="R14" s="32"/>
      <c r="S14" s="33" t="s">
        <v>87</v>
      </c>
      <c r="T14" s="33" t="s">
        <v>87</v>
      </c>
      <c r="U14" s="33" t="s">
        <v>87</v>
      </c>
      <c r="V14" s="34" t="s">
        <v>87</v>
      </c>
      <c r="W14" s="35"/>
      <c r="X14" s="36"/>
      <c r="Y14" s="36"/>
      <c r="Z14" s="36"/>
      <c r="AA14" s="37"/>
      <c r="AB14" s="38"/>
      <c r="AC14" s="39"/>
      <c r="AD14" s="40"/>
      <c r="AE14" s="41"/>
      <c r="AF14" s="42"/>
      <c r="AG14" s="42"/>
      <c r="AH14" s="42"/>
      <c r="AI14" s="43"/>
      <c r="AJ14" s="44"/>
      <c r="AK14" s="45"/>
      <c r="AL14" s="45"/>
      <c r="AM14" s="45"/>
      <c r="AN14" s="46"/>
      <c r="AO14" s="47"/>
      <c r="AP14" s="48"/>
      <c r="AQ14" s="48"/>
      <c r="AR14" s="48"/>
      <c r="AS14" s="48"/>
      <c r="AT14" s="49"/>
      <c r="AU14" s="50" t="s">
        <v>87</v>
      </c>
      <c r="AV14" s="51" t="s">
        <v>87</v>
      </c>
      <c r="AW14" s="51" t="s">
        <v>87</v>
      </c>
      <c r="AX14" s="52"/>
      <c r="AY14" s="53"/>
      <c r="AZ14" s="80"/>
      <c r="BA14" s="54"/>
      <c r="BB14" s="55"/>
      <c r="BC14" s="55"/>
      <c r="BD14" s="55"/>
      <c r="BE14" s="55"/>
      <c r="BF14" s="55"/>
      <c r="BG14" s="56"/>
      <c r="BH14" s="57"/>
      <c r="BI14" s="58"/>
      <c r="BJ14" s="58"/>
      <c r="BK14" s="58"/>
      <c r="BL14" s="58"/>
      <c r="BM14" s="58"/>
      <c r="BN14" s="58"/>
      <c r="BO14" s="58"/>
    </row>
    <row r="15" spans="1:67" ht="28.5" customHeight="1" x14ac:dyDescent="0.35">
      <c r="A15" s="66" t="s">
        <v>146</v>
      </c>
      <c r="B15" s="66">
        <v>30616740839</v>
      </c>
      <c r="C15" s="66" t="s">
        <v>80</v>
      </c>
      <c r="D15" s="66" t="s">
        <v>147</v>
      </c>
      <c r="E15" s="66" t="s">
        <v>90</v>
      </c>
      <c r="F15" s="66" t="s">
        <v>83</v>
      </c>
      <c r="G15" s="66" t="str">
        <f>"2029"</f>
        <v>2029</v>
      </c>
      <c r="H15" s="66"/>
      <c r="I15" s="66" t="str">
        <f>"0416103508"</f>
        <v>0416103508</v>
      </c>
      <c r="J15" s="68" t="s">
        <v>148</v>
      </c>
      <c r="K15" s="68" t="s">
        <v>149</v>
      </c>
      <c r="L15" s="59"/>
      <c r="M15" s="60"/>
      <c r="N15" s="60"/>
      <c r="O15" s="60"/>
      <c r="P15" s="60"/>
      <c r="Q15" s="61"/>
      <c r="R15" s="32"/>
      <c r="S15" s="33"/>
      <c r="T15" s="33"/>
      <c r="U15" s="33"/>
      <c r="V15" s="34"/>
      <c r="W15" s="35"/>
      <c r="X15" s="36"/>
      <c r="Y15" s="36"/>
      <c r="Z15" s="36"/>
      <c r="AA15" s="37"/>
      <c r="AB15" s="38"/>
      <c r="AC15" s="39"/>
      <c r="AD15" s="40"/>
      <c r="AE15" s="41"/>
      <c r="AF15" s="42"/>
      <c r="AG15" s="42"/>
      <c r="AH15" s="42"/>
      <c r="AI15" s="43"/>
      <c r="AJ15" s="44"/>
      <c r="AK15" s="45"/>
      <c r="AL15" s="45"/>
      <c r="AM15" s="45"/>
      <c r="AN15" s="46"/>
      <c r="AO15" s="47"/>
      <c r="AP15" s="48"/>
      <c r="AQ15" s="48"/>
      <c r="AR15" s="48"/>
      <c r="AS15" s="48"/>
      <c r="AT15" s="49"/>
      <c r="AU15" s="50"/>
      <c r="AV15" s="51"/>
      <c r="AW15" s="51" t="s">
        <v>87</v>
      </c>
      <c r="AX15" s="52"/>
      <c r="AY15" s="53"/>
      <c r="AZ15" s="80"/>
      <c r="BA15" s="54"/>
      <c r="BB15" s="55"/>
      <c r="BC15" s="55"/>
      <c r="BD15" s="55"/>
      <c r="BE15" s="55"/>
      <c r="BF15" s="55"/>
      <c r="BG15" s="56"/>
      <c r="BH15" s="57" t="s">
        <v>87</v>
      </c>
      <c r="BI15" s="58"/>
      <c r="BJ15" s="58"/>
      <c r="BK15" s="58"/>
      <c r="BL15" s="58" t="s">
        <v>87</v>
      </c>
      <c r="BM15" s="58"/>
      <c r="BN15" s="58" t="s">
        <v>87</v>
      </c>
      <c r="BO15" s="58" t="s">
        <v>87</v>
      </c>
    </row>
    <row r="16" spans="1:67" ht="28.5" customHeight="1" x14ac:dyDescent="0.35">
      <c r="A16" s="66" t="s">
        <v>150</v>
      </c>
      <c r="B16" s="66">
        <v>42078658778</v>
      </c>
      <c r="C16" s="66" t="s">
        <v>80</v>
      </c>
      <c r="D16" s="66" t="s">
        <v>151</v>
      </c>
      <c r="E16" s="66" t="s">
        <v>152</v>
      </c>
      <c r="F16" s="66" t="s">
        <v>83</v>
      </c>
      <c r="G16" s="66" t="str">
        <f>"2010"</f>
        <v>2010</v>
      </c>
      <c r="H16" s="66" t="str">
        <f>"02 8354 4401"</f>
        <v>02 8354 4401</v>
      </c>
      <c r="I16" s="66" t="str">
        <f>"0419401581"</f>
        <v>0419401581</v>
      </c>
      <c r="J16" s="68" t="s">
        <v>153</v>
      </c>
      <c r="K16" s="68" t="s">
        <v>154</v>
      </c>
      <c r="L16" s="59"/>
      <c r="M16" s="60"/>
      <c r="N16" s="60"/>
      <c r="O16" s="60"/>
      <c r="P16" s="60"/>
      <c r="Q16" s="61"/>
      <c r="R16" s="32"/>
      <c r="S16" s="33"/>
      <c r="T16" s="33"/>
      <c r="U16" s="33"/>
      <c r="V16" s="34"/>
      <c r="W16" s="35" t="s">
        <v>87</v>
      </c>
      <c r="X16" s="36" t="s">
        <v>87</v>
      </c>
      <c r="Y16" s="36" t="s">
        <v>87</v>
      </c>
      <c r="Z16" s="36"/>
      <c r="AA16" s="37" t="s">
        <v>87</v>
      </c>
      <c r="AB16" s="38"/>
      <c r="AC16" s="39"/>
      <c r="AD16" s="40"/>
      <c r="AE16" s="41"/>
      <c r="AF16" s="42"/>
      <c r="AG16" s="42"/>
      <c r="AH16" s="42"/>
      <c r="AI16" s="43"/>
      <c r="AJ16" s="44"/>
      <c r="AK16" s="45"/>
      <c r="AL16" s="45"/>
      <c r="AM16" s="45"/>
      <c r="AN16" s="46"/>
      <c r="AO16" s="47"/>
      <c r="AP16" s="48"/>
      <c r="AQ16" s="48"/>
      <c r="AR16" s="48"/>
      <c r="AS16" s="48"/>
      <c r="AT16" s="49"/>
      <c r="AU16" s="50"/>
      <c r="AV16" s="51"/>
      <c r="AW16" s="51"/>
      <c r="AX16" s="52"/>
      <c r="AY16" s="53"/>
      <c r="AZ16" s="80"/>
      <c r="BA16" s="54"/>
      <c r="BB16" s="55"/>
      <c r="BC16" s="55"/>
      <c r="BD16" s="55"/>
      <c r="BE16" s="55"/>
      <c r="BF16" s="55"/>
      <c r="BG16" s="56"/>
      <c r="BH16" s="57"/>
      <c r="BI16" s="58"/>
      <c r="BJ16" s="58"/>
      <c r="BK16" s="58"/>
      <c r="BL16" s="58"/>
      <c r="BM16" s="58"/>
      <c r="BN16" s="58"/>
      <c r="BO16" s="58"/>
    </row>
    <row r="17" spans="1:67" ht="28.5" customHeight="1" x14ac:dyDescent="0.35">
      <c r="A17" s="66" t="s">
        <v>155</v>
      </c>
      <c r="B17" s="66">
        <v>63123418986</v>
      </c>
      <c r="C17" s="66" t="s">
        <v>80</v>
      </c>
      <c r="D17" s="66" t="s">
        <v>156</v>
      </c>
      <c r="E17" s="66" t="s">
        <v>90</v>
      </c>
      <c r="F17" s="66" t="s">
        <v>83</v>
      </c>
      <c r="G17" s="66" t="str">
        <f>"2010"</f>
        <v>2010</v>
      </c>
      <c r="H17" s="66" t="str">
        <f>"02 9779 0999"</f>
        <v>02 9779 0999</v>
      </c>
      <c r="I17" s="66" t="str">
        <f>"0401811930"</f>
        <v>0401811930</v>
      </c>
      <c r="J17" s="68" t="s">
        <v>157</v>
      </c>
      <c r="K17" s="68" t="s">
        <v>158</v>
      </c>
      <c r="L17" s="59"/>
      <c r="M17" s="60"/>
      <c r="N17" s="60"/>
      <c r="O17" s="60"/>
      <c r="P17" s="60"/>
      <c r="Q17" s="61"/>
      <c r="R17" s="32"/>
      <c r="S17" s="33"/>
      <c r="T17" s="33"/>
      <c r="U17" s="33"/>
      <c r="V17" s="34"/>
      <c r="W17" s="35"/>
      <c r="X17" s="36"/>
      <c r="Y17" s="36"/>
      <c r="Z17" s="36"/>
      <c r="AA17" s="37"/>
      <c r="AB17" s="38" t="s">
        <v>87</v>
      </c>
      <c r="AC17" s="39" t="s">
        <v>87</v>
      </c>
      <c r="AD17" s="40" t="s">
        <v>87</v>
      </c>
      <c r="AE17" s="41" t="s">
        <v>87</v>
      </c>
      <c r="AF17" s="42" t="s">
        <v>87</v>
      </c>
      <c r="AG17" s="42" t="s">
        <v>87</v>
      </c>
      <c r="AH17" s="42" t="s">
        <v>87</v>
      </c>
      <c r="AI17" s="43" t="s">
        <v>87</v>
      </c>
      <c r="AJ17" s="44"/>
      <c r="AK17" s="45"/>
      <c r="AL17" s="45"/>
      <c r="AM17" s="45"/>
      <c r="AN17" s="46"/>
      <c r="AO17" s="47"/>
      <c r="AP17" s="48"/>
      <c r="AQ17" s="48"/>
      <c r="AR17" s="48"/>
      <c r="AS17" s="48"/>
      <c r="AT17" s="49"/>
      <c r="AU17" s="50"/>
      <c r="AV17" s="51"/>
      <c r="AW17" s="51"/>
      <c r="AX17" s="52"/>
      <c r="AY17" s="53" t="s">
        <v>87</v>
      </c>
      <c r="AZ17" s="80" t="s">
        <v>87</v>
      </c>
      <c r="BA17" s="54"/>
      <c r="BB17" s="55"/>
      <c r="BC17" s="55"/>
      <c r="BD17" s="55"/>
      <c r="BE17" s="55"/>
      <c r="BF17" s="55"/>
      <c r="BG17" s="56"/>
      <c r="BH17" s="57"/>
      <c r="BI17" s="58"/>
      <c r="BJ17" s="58"/>
      <c r="BK17" s="58"/>
      <c r="BL17" s="58"/>
      <c r="BM17" s="58"/>
      <c r="BN17" s="58"/>
      <c r="BO17" s="58"/>
    </row>
    <row r="18" spans="1:67" ht="28.5" customHeight="1" x14ac:dyDescent="0.35">
      <c r="A18" s="66" t="s">
        <v>159</v>
      </c>
      <c r="B18" s="66">
        <v>20739184385</v>
      </c>
      <c r="C18" s="66" t="s">
        <v>80</v>
      </c>
      <c r="D18" s="66" t="s">
        <v>160</v>
      </c>
      <c r="E18" s="66" t="s">
        <v>161</v>
      </c>
      <c r="F18" s="66" t="s">
        <v>83</v>
      </c>
      <c r="G18" s="66" t="str">
        <f>"2010"</f>
        <v>2010</v>
      </c>
      <c r="H18" s="66" t="str">
        <f>"02 9212 1852"</f>
        <v>02 9212 1852</v>
      </c>
      <c r="I18" s="66" t="str">
        <f>""</f>
        <v/>
      </c>
      <c r="J18" s="68" t="s">
        <v>162</v>
      </c>
      <c r="K18" s="68" t="s">
        <v>163</v>
      </c>
      <c r="L18" s="59"/>
      <c r="M18" s="60"/>
      <c r="N18" s="60"/>
      <c r="O18" s="60"/>
      <c r="P18" s="60"/>
      <c r="Q18" s="61"/>
      <c r="R18" s="32" t="s">
        <v>87</v>
      </c>
      <c r="S18" s="33"/>
      <c r="T18" s="33"/>
      <c r="U18" s="33"/>
      <c r="V18" s="34" t="s">
        <v>87</v>
      </c>
      <c r="W18" s="35" t="s">
        <v>87</v>
      </c>
      <c r="X18" s="36" t="s">
        <v>87</v>
      </c>
      <c r="Y18" s="36"/>
      <c r="Z18" s="36"/>
      <c r="AA18" s="37"/>
      <c r="AB18" s="38"/>
      <c r="AC18" s="39"/>
      <c r="AD18" s="40"/>
      <c r="AE18" s="41"/>
      <c r="AF18" s="42"/>
      <c r="AG18" s="42"/>
      <c r="AH18" s="42"/>
      <c r="AI18" s="43"/>
      <c r="AJ18" s="44"/>
      <c r="AK18" s="45"/>
      <c r="AL18" s="45"/>
      <c r="AM18" s="45"/>
      <c r="AN18" s="46"/>
      <c r="AO18" s="47"/>
      <c r="AP18" s="48"/>
      <c r="AQ18" s="48"/>
      <c r="AR18" s="48"/>
      <c r="AS18" s="48"/>
      <c r="AT18" s="49"/>
      <c r="AU18" s="50" t="s">
        <v>87</v>
      </c>
      <c r="AV18" s="51" t="s">
        <v>87</v>
      </c>
      <c r="AW18" s="51" t="s">
        <v>87</v>
      </c>
      <c r="AX18" s="52" t="s">
        <v>87</v>
      </c>
      <c r="AY18" s="53"/>
      <c r="AZ18" s="80"/>
      <c r="BA18" s="54"/>
      <c r="BB18" s="55"/>
      <c r="BC18" s="55"/>
      <c r="BD18" s="55"/>
      <c r="BE18" s="55"/>
      <c r="BF18" s="55"/>
      <c r="BG18" s="56" t="s">
        <v>87</v>
      </c>
      <c r="BH18" s="57"/>
      <c r="BI18" s="58"/>
      <c r="BJ18" s="58"/>
      <c r="BK18" s="58"/>
      <c r="BL18" s="58"/>
      <c r="BM18" s="58"/>
      <c r="BN18" s="58"/>
      <c r="BO18" s="58"/>
    </row>
    <row r="19" spans="1:67" ht="28.5" customHeight="1" x14ac:dyDescent="0.35">
      <c r="A19" s="66" t="s">
        <v>164</v>
      </c>
      <c r="B19" s="66">
        <v>60169071783</v>
      </c>
      <c r="C19" s="66" t="s">
        <v>80</v>
      </c>
      <c r="D19" s="66" t="s">
        <v>165</v>
      </c>
      <c r="E19" s="66" t="s">
        <v>90</v>
      </c>
      <c r="F19" s="66" t="s">
        <v>83</v>
      </c>
      <c r="G19" s="66" t="str">
        <f>"2300"</f>
        <v>2300</v>
      </c>
      <c r="H19" s="66" t="str">
        <f>"02 8667 5310"</f>
        <v>02 8667 5310</v>
      </c>
      <c r="I19" s="66" t="str">
        <f>"0402742781"</f>
        <v>0402742781</v>
      </c>
      <c r="J19" s="68" t="s">
        <v>166</v>
      </c>
      <c r="K19" s="68" t="s">
        <v>167</v>
      </c>
      <c r="L19" s="59"/>
      <c r="M19" s="60"/>
      <c r="N19" s="60"/>
      <c r="O19" s="60"/>
      <c r="P19" s="60"/>
      <c r="Q19" s="61"/>
      <c r="R19" s="32" t="s">
        <v>87</v>
      </c>
      <c r="S19" s="33" t="s">
        <v>87</v>
      </c>
      <c r="T19" s="33" t="s">
        <v>87</v>
      </c>
      <c r="U19" s="33"/>
      <c r="V19" s="34" t="s">
        <v>87</v>
      </c>
      <c r="W19" s="35" t="s">
        <v>87</v>
      </c>
      <c r="X19" s="36" t="s">
        <v>87</v>
      </c>
      <c r="Y19" s="36" t="s">
        <v>87</v>
      </c>
      <c r="Z19" s="36"/>
      <c r="AA19" s="37" t="s">
        <v>87</v>
      </c>
      <c r="AB19" s="38"/>
      <c r="AC19" s="39"/>
      <c r="AD19" s="40"/>
      <c r="AE19" s="41"/>
      <c r="AF19" s="42"/>
      <c r="AG19" s="42"/>
      <c r="AH19" s="42"/>
      <c r="AI19" s="43"/>
      <c r="AJ19" s="44"/>
      <c r="AK19" s="45"/>
      <c r="AL19" s="45"/>
      <c r="AM19" s="45"/>
      <c r="AN19" s="46"/>
      <c r="AO19" s="47"/>
      <c r="AP19" s="48"/>
      <c r="AQ19" s="48"/>
      <c r="AR19" s="48"/>
      <c r="AS19" s="48"/>
      <c r="AT19" s="49"/>
      <c r="AU19" s="50" t="s">
        <v>87</v>
      </c>
      <c r="AV19" s="51" t="s">
        <v>87</v>
      </c>
      <c r="AW19" s="51" t="s">
        <v>87</v>
      </c>
      <c r="AX19" s="52" t="s">
        <v>87</v>
      </c>
      <c r="AY19" s="53"/>
      <c r="AZ19" s="80"/>
      <c r="BA19" s="54"/>
      <c r="BB19" s="55"/>
      <c r="BC19" s="55"/>
      <c r="BD19" s="55"/>
      <c r="BE19" s="55"/>
      <c r="BF19" s="55"/>
      <c r="BG19" s="56"/>
      <c r="BH19" s="57"/>
      <c r="BI19" s="58"/>
      <c r="BJ19" s="58"/>
      <c r="BK19" s="58"/>
      <c r="BL19" s="58"/>
      <c r="BM19" s="58"/>
      <c r="BN19" s="58"/>
      <c r="BO19" s="58"/>
    </row>
    <row r="20" spans="1:67" ht="28.5" customHeight="1" x14ac:dyDescent="0.35">
      <c r="A20" s="66" t="s">
        <v>168</v>
      </c>
      <c r="B20" s="66">
        <v>33153424438</v>
      </c>
      <c r="C20" s="66" t="s">
        <v>80</v>
      </c>
      <c r="D20" s="66" t="s">
        <v>169</v>
      </c>
      <c r="E20" s="66" t="s">
        <v>132</v>
      </c>
      <c r="F20" s="66" t="s">
        <v>83</v>
      </c>
      <c r="G20" s="66" t="str">
        <f>"2037"</f>
        <v>2037</v>
      </c>
      <c r="H20" s="66"/>
      <c r="I20" s="66" t="str">
        <f>"0404784995"</f>
        <v>0404784995</v>
      </c>
      <c r="J20" s="68" t="s">
        <v>170</v>
      </c>
      <c r="K20" s="68" t="s">
        <v>171</v>
      </c>
      <c r="L20" s="59"/>
      <c r="M20" s="60"/>
      <c r="N20" s="60"/>
      <c r="O20" s="60"/>
      <c r="P20" s="60"/>
      <c r="Q20" s="61"/>
      <c r="R20" s="32" t="s">
        <v>87</v>
      </c>
      <c r="S20" s="33" t="s">
        <v>87</v>
      </c>
      <c r="T20" s="33" t="s">
        <v>87</v>
      </c>
      <c r="U20" s="33" t="s">
        <v>87</v>
      </c>
      <c r="V20" s="34" t="s">
        <v>87</v>
      </c>
      <c r="W20" s="35" t="s">
        <v>87</v>
      </c>
      <c r="X20" s="36" t="s">
        <v>87</v>
      </c>
      <c r="Y20" s="36"/>
      <c r="Z20" s="36" t="s">
        <v>87</v>
      </c>
      <c r="AA20" s="37" t="s">
        <v>87</v>
      </c>
      <c r="AB20" s="38"/>
      <c r="AC20" s="39"/>
      <c r="AD20" s="40"/>
      <c r="AE20" s="41" t="s">
        <v>87</v>
      </c>
      <c r="AF20" s="42" t="s">
        <v>87</v>
      </c>
      <c r="AG20" s="42" t="s">
        <v>87</v>
      </c>
      <c r="AH20" s="42" t="s">
        <v>87</v>
      </c>
      <c r="AI20" s="43" t="s">
        <v>87</v>
      </c>
      <c r="AJ20" s="44"/>
      <c r="AK20" s="45"/>
      <c r="AL20" s="45"/>
      <c r="AM20" s="45"/>
      <c r="AN20" s="46"/>
      <c r="AO20" s="47"/>
      <c r="AP20" s="48"/>
      <c r="AQ20" s="48"/>
      <c r="AR20" s="48"/>
      <c r="AS20" s="48"/>
      <c r="AT20" s="49"/>
      <c r="AU20" s="50"/>
      <c r="AV20" s="51"/>
      <c r="AW20" s="51"/>
      <c r="AX20" s="52"/>
      <c r="AY20" s="53"/>
      <c r="AZ20" s="80"/>
      <c r="BA20" s="54"/>
      <c r="BB20" s="55"/>
      <c r="BC20" s="55"/>
      <c r="BD20" s="55"/>
      <c r="BE20" s="55"/>
      <c r="BF20" s="55"/>
      <c r="BG20" s="56"/>
      <c r="BH20" s="57"/>
      <c r="BI20" s="58"/>
      <c r="BJ20" s="58"/>
      <c r="BK20" s="58"/>
      <c r="BL20" s="58"/>
      <c r="BM20" s="58"/>
      <c r="BN20" s="58"/>
      <c r="BO20" s="58"/>
    </row>
    <row r="21" spans="1:67" ht="28.5" customHeight="1" x14ac:dyDescent="0.35">
      <c r="A21" s="66" t="s">
        <v>172</v>
      </c>
      <c r="B21" s="66">
        <v>74635799101</v>
      </c>
      <c r="C21" s="66" t="s">
        <v>80</v>
      </c>
      <c r="D21" s="66" t="s">
        <v>173</v>
      </c>
      <c r="E21" s="66" t="s">
        <v>90</v>
      </c>
      <c r="F21" s="66" t="s">
        <v>83</v>
      </c>
      <c r="G21" s="66" t="str">
        <f>"2037"</f>
        <v>2037</v>
      </c>
      <c r="H21" s="66"/>
      <c r="I21" s="66" t="str">
        <f>"0421306611"</f>
        <v>0421306611</v>
      </c>
      <c r="J21" s="68" t="s">
        <v>174</v>
      </c>
      <c r="K21" s="68" t="s">
        <v>175</v>
      </c>
      <c r="L21" s="59"/>
      <c r="M21" s="60"/>
      <c r="N21" s="60"/>
      <c r="O21" s="60"/>
      <c r="P21" s="60"/>
      <c r="Q21" s="61"/>
      <c r="R21" s="32"/>
      <c r="S21" s="33"/>
      <c r="T21" s="33"/>
      <c r="U21" s="33"/>
      <c r="V21" s="34"/>
      <c r="W21" s="35"/>
      <c r="X21" s="36"/>
      <c r="Y21" s="36"/>
      <c r="Z21" s="36"/>
      <c r="AA21" s="37"/>
      <c r="AB21" s="38"/>
      <c r="AC21" s="39"/>
      <c r="AD21" s="40"/>
      <c r="AE21" s="41"/>
      <c r="AF21" s="42"/>
      <c r="AG21" s="42"/>
      <c r="AH21" s="42"/>
      <c r="AI21" s="43"/>
      <c r="AJ21" s="44"/>
      <c r="AK21" s="45"/>
      <c r="AL21" s="45"/>
      <c r="AM21" s="45"/>
      <c r="AN21" s="46"/>
      <c r="AO21" s="47"/>
      <c r="AP21" s="48" t="s">
        <v>87</v>
      </c>
      <c r="AQ21" s="48"/>
      <c r="AR21" s="48"/>
      <c r="AS21" s="48"/>
      <c r="AT21" s="49" t="s">
        <v>87</v>
      </c>
      <c r="AU21" s="50"/>
      <c r="AV21" s="51"/>
      <c r="AW21" s="51"/>
      <c r="AX21" s="52"/>
      <c r="AY21" s="53"/>
      <c r="AZ21" s="80"/>
      <c r="BA21" s="54"/>
      <c r="BB21" s="55"/>
      <c r="BC21" s="55"/>
      <c r="BD21" s="55"/>
      <c r="BE21" s="55"/>
      <c r="BF21" s="55"/>
      <c r="BG21" s="56"/>
      <c r="BH21" s="57" t="s">
        <v>87</v>
      </c>
      <c r="BI21" s="58" t="s">
        <v>87</v>
      </c>
      <c r="BJ21" s="58" t="s">
        <v>87</v>
      </c>
      <c r="BK21" s="58" t="s">
        <v>87</v>
      </c>
      <c r="BL21" s="58" t="s">
        <v>87</v>
      </c>
      <c r="BM21" s="58" t="s">
        <v>87</v>
      </c>
      <c r="BN21" s="58" t="s">
        <v>87</v>
      </c>
      <c r="BO21" s="58" t="s">
        <v>87</v>
      </c>
    </row>
    <row r="22" spans="1:67" ht="28.5" customHeight="1" x14ac:dyDescent="0.35">
      <c r="A22" s="66" t="s">
        <v>176</v>
      </c>
      <c r="B22" s="66">
        <v>12148814224</v>
      </c>
      <c r="C22" s="66" t="s">
        <v>80</v>
      </c>
      <c r="D22" s="66" t="s">
        <v>177</v>
      </c>
      <c r="E22" s="66" t="s">
        <v>178</v>
      </c>
      <c r="F22" s="66" t="s">
        <v>83</v>
      </c>
      <c r="G22" s="66" t="str">
        <f>"2010"</f>
        <v>2010</v>
      </c>
      <c r="H22" s="66" t="str">
        <f>"02 8060 9644"</f>
        <v>02 8060 9644</v>
      </c>
      <c r="I22" s="66" t="str">
        <f>"0424386715"</f>
        <v>0424386715</v>
      </c>
      <c r="J22" s="68" t="s">
        <v>179</v>
      </c>
      <c r="K22" s="68" t="s">
        <v>180</v>
      </c>
      <c r="L22" s="59"/>
      <c r="M22" s="60"/>
      <c r="N22" s="60"/>
      <c r="O22" s="60"/>
      <c r="P22" s="60"/>
      <c r="Q22" s="61"/>
      <c r="R22" s="32"/>
      <c r="S22" s="33"/>
      <c r="T22" s="33"/>
      <c r="U22" s="33"/>
      <c r="V22" s="34"/>
      <c r="W22" s="35" t="s">
        <v>87</v>
      </c>
      <c r="X22" s="36" t="s">
        <v>87</v>
      </c>
      <c r="Y22" s="36" t="s">
        <v>87</v>
      </c>
      <c r="Z22" s="36"/>
      <c r="AA22" s="37" t="s">
        <v>87</v>
      </c>
      <c r="AB22" s="38"/>
      <c r="AC22" s="39"/>
      <c r="AD22" s="40"/>
      <c r="AE22" s="41"/>
      <c r="AF22" s="42"/>
      <c r="AG22" s="42"/>
      <c r="AH22" s="42"/>
      <c r="AI22" s="43"/>
      <c r="AJ22" s="44"/>
      <c r="AK22" s="45"/>
      <c r="AL22" s="45"/>
      <c r="AM22" s="45"/>
      <c r="AN22" s="46"/>
      <c r="AO22" s="47"/>
      <c r="AP22" s="48"/>
      <c r="AQ22" s="48"/>
      <c r="AR22" s="48"/>
      <c r="AS22" s="48"/>
      <c r="AT22" s="49"/>
      <c r="AU22" s="50" t="s">
        <v>87</v>
      </c>
      <c r="AV22" s="51" t="s">
        <v>87</v>
      </c>
      <c r="AW22" s="51" t="s">
        <v>87</v>
      </c>
      <c r="AX22" s="52" t="s">
        <v>87</v>
      </c>
      <c r="AY22" s="53"/>
      <c r="AZ22" s="80"/>
      <c r="BA22" s="54"/>
      <c r="BB22" s="55"/>
      <c r="BC22" s="55" t="s">
        <v>87</v>
      </c>
      <c r="BD22" s="55" t="s">
        <v>87</v>
      </c>
      <c r="BE22" s="55"/>
      <c r="BF22" s="55"/>
      <c r="BG22" s="56"/>
      <c r="BH22" s="57"/>
      <c r="BI22" s="58"/>
      <c r="BJ22" s="58"/>
      <c r="BK22" s="58"/>
      <c r="BL22" s="58"/>
      <c r="BM22" s="58"/>
      <c r="BN22" s="58"/>
      <c r="BO22" s="58"/>
    </row>
    <row r="23" spans="1:67" ht="28.5" customHeight="1" x14ac:dyDescent="0.35">
      <c r="A23" s="66" t="s">
        <v>181</v>
      </c>
      <c r="B23" s="66">
        <v>98151637044</v>
      </c>
      <c r="C23" s="66" t="s">
        <v>80</v>
      </c>
      <c r="D23" s="66" t="s">
        <v>182</v>
      </c>
      <c r="E23" s="66" t="s">
        <v>183</v>
      </c>
      <c r="F23" s="66" t="s">
        <v>83</v>
      </c>
      <c r="G23" s="66" t="str">
        <f>"2000"</f>
        <v>2000</v>
      </c>
      <c r="H23" s="66" t="str">
        <f>"02 8091 3804"</f>
        <v>02 8091 3804</v>
      </c>
      <c r="I23" s="66" t="str">
        <f>"0420499179"</f>
        <v>0420499179</v>
      </c>
      <c r="J23" s="68" t="s">
        <v>184</v>
      </c>
      <c r="K23" s="68" t="s">
        <v>185</v>
      </c>
      <c r="L23" s="59"/>
      <c r="M23" s="60"/>
      <c r="N23" s="60"/>
      <c r="O23" s="60"/>
      <c r="P23" s="60"/>
      <c r="Q23" s="61"/>
      <c r="R23" s="32"/>
      <c r="S23" s="33"/>
      <c r="T23" s="33"/>
      <c r="U23" s="33"/>
      <c r="V23" s="34"/>
      <c r="W23" s="35"/>
      <c r="X23" s="36"/>
      <c r="Y23" s="36"/>
      <c r="Z23" s="36"/>
      <c r="AA23" s="37"/>
      <c r="AB23" s="38"/>
      <c r="AC23" s="39"/>
      <c r="AD23" s="40"/>
      <c r="AE23" s="41"/>
      <c r="AF23" s="42"/>
      <c r="AG23" s="42"/>
      <c r="AH23" s="42"/>
      <c r="AI23" s="43"/>
      <c r="AJ23" s="44"/>
      <c r="AK23" s="45"/>
      <c r="AL23" s="45"/>
      <c r="AM23" s="45"/>
      <c r="AN23" s="46"/>
      <c r="AO23" s="47"/>
      <c r="AP23" s="48"/>
      <c r="AQ23" s="48"/>
      <c r="AR23" s="48"/>
      <c r="AS23" s="48"/>
      <c r="AT23" s="49"/>
      <c r="AU23" s="50"/>
      <c r="AV23" s="51"/>
      <c r="AW23" s="51"/>
      <c r="AX23" s="52"/>
      <c r="AY23" s="53" t="s">
        <v>87</v>
      </c>
      <c r="AZ23" s="80" t="s">
        <v>87</v>
      </c>
      <c r="BA23" s="54"/>
      <c r="BB23" s="55"/>
      <c r="BC23" s="55" t="s">
        <v>87</v>
      </c>
      <c r="BD23" s="55" t="s">
        <v>87</v>
      </c>
      <c r="BE23" s="55"/>
      <c r="BF23" s="55"/>
      <c r="BG23" s="56"/>
      <c r="BH23" s="57"/>
      <c r="BI23" s="58"/>
      <c r="BJ23" s="58"/>
      <c r="BK23" s="58"/>
      <c r="BL23" s="58"/>
      <c r="BM23" s="58"/>
      <c r="BN23" s="58"/>
      <c r="BO23" s="58"/>
    </row>
    <row r="24" spans="1:67" ht="28.5" customHeight="1" x14ac:dyDescent="0.35">
      <c r="A24" s="66" t="s">
        <v>186</v>
      </c>
      <c r="B24" s="66">
        <v>83603348947</v>
      </c>
      <c r="C24" s="66" t="s">
        <v>80</v>
      </c>
      <c r="D24" s="66" t="s">
        <v>187</v>
      </c>
      <c r="E24" s="66" t="s">
        <v>152</v>
      </c>
      <c r="F24" s="66" t="s">
        <v>83</v>
      </c>
      <c r="G24" s="66">
        <v>2065</v>
      </c>
      <c r="H24" s="67"/>
      <c r="I24" s="67" t="s">
        <v>188</v>
      </c>
      <c r="J24" s="68" t="s">
        <v>189</v>
      </c>
      <c r="K24" s="68" t="s">
        <v>190</v>
      </c>
      <c r="L24" s="59"/>
      <c r="M24" s="60"/>
      <c r="N24" s="60"/>
      <c r="O24" s="60"/>
      <c r="P24" s="60"/>
      <c r="Q24" s="61"/>
      <c r="R24" s="32"/>
      <c r="S24" s="33"/>
      <c r="T24" s="33"/>
      <c r="U24" s="33"/>
      <c r="V24" s="34"/>
      <c r="W24" s="35" t="s">
        <v>87</v>
      </c>
      <c r="X24" s="36" t="s">
        <v>87</v>
      </c>
      <c r="Y24" s="36"/>
      <c r="Z24" s="36" t="s">
        <v>87</v>
      </c>
      <c r="AA24" s="37" t="s">
        <v>87</v>
      </c>
      <c r="AB24" s="38"/>
      <c r="AC24" s="39"/>
      <c r="AD24" s="40"/>
      <c r="AE24" s="41"/>
      <c r="AF24" s="42"/>
      <c r="AG24" s="42"/>
      <c r="AH24" s="42"/>
      <c r="AI24" s="43"/>
      <c r="AJ24" s="44"/>
      <c r="AK24" s="45"/>
      <c r="AL24" s="45"/>
      <c r="AM24" s="45"/>
      <c r="AN24" s="46"/>
      <c r="AO24" s="47"/>
      <c r="AP24" s="48"/>
      <c r="AQ24" s="48"/>
      <c r="AR24" s="48"/>
      <c r="AS24" s="48"/>
      <c r="AT24" s="49"/>
      <c r="AU24" s="50"/>
      <c r="AV24" s="51"/>
      <c r="AW24" s="51"/>
      <c r="AX24" s="52"/>
      <c r="AY24" s="53"/>
      <c r="AZ24" s="80"/>
      <c r="BA24" s="54"/>
      <c r="BB24" s="55"/>
      <c r="BC24" s="55"/>
      <c r="BD24" s="55"/>
      <c r="BE24" s="55"/>
      <c r="BF24" s="55"/>
      <c r="BG24" s="56"/>
      <c r="BH24" s="57" t="s">
        <v>87</v>
      </c>
      <c r="BI24" s="58" t="s">
        <v>87</v>
      </c>
      <c r="BJ24" s="58" t="s">
        <v>87</v>
      </c>
      <c r="BK24" s="58" t="s">
        <v>87</v>
      </c>
      <c r="BL24" s="58" t="s">
        <v>87</v>
      </c>
      <c r="BM24" s="58" t="s">
        <v>87</v>
      </c>
      <c r="BN24" s="58" t="s">
        <v>87</v>
      </c>
      <c r="BO24" s="58" t="s">
        <v>87</v>
      </c>
    </row>
    <row r="25" spans="1:67" ht="28.5" customHeight="1" x14ac:dyDescent="0.35">
      <c r="A25" s="66" t="s">
        <v>191</v>
      </c>
      <c r="B25" s="66">
        <v>52133958620</v>
      </c>
      <c r="C25" s="66" t="s">
        <v>80</v>
      </c>
      <c r="D25" s="66" t="s">
        <v>192</v>
      </c>
      <c r="E25" s="66" t="s">
        <v>132</v>
      </c>
      <c r="F25" s="66" t="s">
        <v>83</v>
      </c>
      <c r="G25" s="66" t="str">
        <f>"2016"</f>
        <v>2016</v>
      </c>
      <c r="H25" s="66"/>
      <c r="I25" s="66" t="str">
        <f>"0420210478"</f>
        <v>0420210478</v>
      </c>
      <c r="J25" s="68" t="s">
        <v>193</v>
      </c>
      <c r="K25" s="68" t="s">
        <v>194</v>
      </c>
      <c r="L25" s="59"/>
      <c r="M25" s="60"/>
      <c r="N25" s="60"/>
      <c r="O25" s="60"/>
      <c r="P25" s="60"/>
      <c r="Q25" s="61"/>
      <c r="R25" s="32" t="s">
        <v>87</v>
      </c>
      <c r="S25" s="33" t="s">
        <v>87</v>
      </c>
      <c r="T25" s="33" t="s">
        <v>87</v>
      </c>
      <c r="U25" s="33" t="s">
        <v>87</v>
      </c>
      <c r="V25" s="34" t="s">
        <v>87</v>
      </c>
      <c r="W25" s="35" t="s">
        <v>87</v>
      </c>
      <c r="X25" s="36" t="s">
        <v>87</v>
      </c>
      <c r="Y25" s="36" t="s">
        <v>87</v>
      </c>
      <c r="Z25" s="36" t="s">
        <v>87</v>
      </c>
      <c r="AA25" s="37" t="s">
        <v>87</v>
      </c>
      <c r="AB25" s="38"/>
      <c r="AC25" s="39"/>
      <c r="AD25" s="40"/>
      <c r="AE25" s="41"/>
      <c r="AF25" s="42"/>
      <c r="AG25" s="42"/>
      <c r="AH25" s="42"/>
      <c r="AI25" s="43"/>
      <c r="AJ25" s="44"/>
      <c r="AK25" s="45"/>
      <c r="AL25" s="45"/>
      <c r="AM25" s="45"/>
      <c r="AN25" s="46"/>
      <c r="AO25" s="47"/>
      <c r="AP25" s="48"/>
      <c r="AQ25" s="48"/>
      <c r="AR25" s="48"/>
      <c r="AS25" s="48"/>
      <c r="AT25" s="49"/>
      <c r="AU25" s="50"/>
      <c r="AV25" s="51"/>
      <c r="AW25" s="51"/>
      <c r="AX25" s="52"/>
      <c r="AY25" s="53"/>
      <c r="AZ25" s="80"/>
      <c r="BA25" s="54"/>
      <c r="BB25" s="55"/>
      <c r="BC25" s="55" t="s">
        <v>87</v>
      </c>
      <c r="BD25" s="55" t="s">
        <v>87</v>
      </c>
      <c r="BE25" s="55" t="s">
        <v>87</v>
      </c>
      <c r="BF25" s="55" t="s">
        <v>87</v>
      </c>
      <c r="BG25" s="56" t="s">
        <v>87</v>
      </c>
      <c r="BH25" s="57"/>
      <c r="BI25" s="58"/>
      <c r="BJ25" s="58"/>
      <c r="BK25" s="58"/>
      <c r="BL25" s="58"/>
      <c r="BM25" s="58"/>
      <c r="BN25" s="58"/>
      <c r="BO25" s="58"/>
    </row>
    <row r="26" spans="1:67" ht="28.5" customHeight="1" x14ac:dyDescent="0.35">
      <c r="A26" s="66" t="s">
        <v>195</v>
      </c>
      <c r="B26" s="66">
        <v>81123499641</v>
      </c>
      <c r="C26" s="66" t="s">
        <v>80</v>
      </c>
      <c r="D26" s="66" t="s">
        <v>196</v>
      </c>
      <c r="E26" s="66" t="s">
        <v>152</v>
      </c>
      <c r="F26" s="66" t="s">
        <v>83</v>
      </c>
      <c r="G26" s="66" t="str">
        <f>"2093"</f>
        <v>2093</v>
      </c>
      <c r="H26" s="66" t="str">
        <f>"02 9977 6255"</f>
        <v>02 9977 6255</v>
      </c>
      <c r="I26" s="66" t="str">
        <f>"0414525646"</f>
        <v>0414525646</v>
      </c>
      <c r="J26" s="68" t="s">
        <v>197</v>
      </c>
      <c r="K26" s="68" t="s">
        <v>198</v>
      </c>
      <c r="L26" s="59"/>
      <c r="M26" s="60"/>
      <c r="N26" s="60"/>
      <c r="O26" s="60"/>
      <c r="P26" s="60"/>
      <c r="Q26" s="61"/>
      <c r="R26" s="32" t="s">
        <v>87</v>
      </c>
      <c r="S26" s="33" t="s">
        <v>87</v>
      </c>
      <c r="T26" s="33" t="s">
        <v>87</v>
      </c>
      <c r="U26" s="33"/>
      <c r="V26" s="34" t="s">
        <v>87</v>
      </c>
      <c r="W26" s="35" t="s">
        <v>87</v>
      </c>
      <c r="X26" s="36" t="s">
        <v>87</v>
      </c>
      <c r="Y26" s="36" t="s">
        <v>87</v>
      </c>
      <c r="Z26" s="36" t="s">
        <v>87</v>
      </c>
      <c r="AA26" s="37" t="s">
        <v>87</v>
      </c>
      <c r="AB26" s="38"/>
      <c r="AC26" s="39"/>
      <c r="AD26" s="40"/>
      <c r="AE26" s="41"/>
      <c r="AF26" s="42"/>
      <c r="AG26" s="42"/>
      <c r="AH26" s="42"/>
      <c r="AI26" s="43"/>
      <c r="AJ26" s="44"/>
      <c r="AK26" s="45"/>
      <c r="AL26" s="45"/>
      <c r="AM26" s="45"/>
      <c r="AN26" s="46"/>
      <c r="AO26" s="47"/>
      <c r="AP26" s="48"/>
      <c r="AQ26" s="48"/>
      <c r="AR26" s="48"/>
      <c r="AS26" s="48"/>
      <c r="AT26" s="49"/>
      <c r="AU26" s="50" t="s">
        <v>87</v>
      </c>
      <c r="AV26" s="51" t="s">
        <v>87</v>
      </c>
      <c r="AW26" s="51" t="s">
        <v>87</v>
      </c>
      <c r="AX26" s="52" t="s">
        <v>87</v>
      </c>
      <c r="AY26" s="53"/>
      <c r="AZ26" s="80"/>
      <c r="BA26" s="54"/>
      <c r="BB26" s="55"/>
      <c r="BC26" s="55"/>
      <c r="BD26" s="55"/>
      <c r="BE26" s="55"/>
      <c r="BF26" s="55"/>
      <c r="BG26" s="56"/>
      <c r="BH26" s="57"/>
      <c r="BI26" s="58"/>
      <c r="BJ26" s="58"/>
      <c r="BK26" s="58"/>
      <c r="BL26" s="58"/>
      <c r="BM26" s="58"/>
      <c r="BN26" s="58"/>
      <c r="BO26" s="58"/>
    </row>
    <row r="27" spans="1:67" ht="28.5" customHeight="1" x14ac:dyDescent="0.35">
      <c r="A27" s="66" t="s">
        <v>199</v>
      </c>
      <c r="B27" s="66">
        <v>17157973807</v>
      </c>
      <c r="C27" s="66" t="s">
        <v>80</v>
      </c>
      <c r="D27" s="66" t="s">
        <v>200</v>
      </c>
      <c r="E27" s="66" t="s">
        <v>90</v>
      </c>
      <c r="F27" s="66" t="s">
        <v>83</v>
      </c>
      <c r="G27" s="66" t="str">
        <f>"2010"</f>
        <v>2010</v>
      </c>
      <c r="H27" s="66" t="str">
        <f>"02 9281 7744"</f>
        <v>02 9281 7744</v>
      </c>
      <c r="I27" s="66" t="str">
        <f>""</f>
        <v/>
      </c>
      <c r="J27" s="68" t="s">
        <v>201</v>
      </c>
      <c r="K27" s="68" t="s">
        <v>202</v>
      </c>
      <c r="L27" s="59"/>
      <c r="M27" s="60"/>
      <c r="N27" s="60"/>
      <c r="O27" s="60"/>
      <c r="P27" s="60"/>
      <c r="Q27" s="61"/>
      <c r="R27" s="32" t="s">
        <v>87</v>
      </c>
      <c r="S27" s="33" t="s">
        <v>87</v>
      </c>
      <c r="T27" s="33" t="s">
        <v>87</v>
      </c>
      <c r="U27" s="33" t="s">
        <v>87</v>
      </c>
      <c r="V27" s="34" t="s">
        <v>87</v>
      </c>
      <c r="W27" s="35" t="s">
        <v>87</v>
      </c>
      <c r="X27" s="36" t="s">
        <v>87</v>
      </c>
      <c r="Y27" s="36" t="s">
        <v>87</v>
      </c>
      <c r="Z27" s="36" t="s">
        <v>87</v>
      </c>
      <c r="AA27" s="37"/>
      <c r="AB27" s="38"/>
      <c r="AC27" s="39"/>
      <c r="AD27" s="40"/>
      <c r="AE27" s="41"/>
      <c r="AF27" s="42"/>
      <c r="AG27" s="42"/>
      <c r="AH27" s="42"/>
      <c r="AI27" s="43"/>
      <c r="AJ27" s="44"/>
      <c r="AK27" s="45"/>
      <c r="AL27" s="45"/>
      <c r="AM27" s="45"/>
      <c r="AN27" s="46"/>
      <c r="AO27" s="47"/>
      <c r="AP27" s="48"/>
      <c r="AQ27" s="48"/>
      <c r="AR27" s="48"/>
      <c r="AS27" s="48"/>
      <c r="AT27" s="49"/>
      <c r="AU27" s="50"/>
      <c r="AV27" s="51"/>
      <c r="AW27" s="51"/>
      <c r="AX27" s="52"/>
      <c r="AY27" s="53"/>
      <c r="AZ27" s="80"/>
      <c r="BA27" s="54"/>
      <c r="BB27" s="55"/>
      <c r="BC27" s="55"/>
      <c r="BD27" s="55"/>
      <c r="BE27" s="55"/>
      <c r="BF27" s="55"/>
      <c r="BG27" s="56"/>
      <c r="BH27" s="57"/>
      <c r="BI27" s="58"/>
      <c r="BJ27" s="58"/>
      <c r="BK27" s="58"/>
      <c r="BL27" s="58"/>
      <c r="BM27" s="58"/>
      <c r="BN27" s="58"/>
      <c r="BO27" s="58"/>
    </row>
    <row r="28" spans="1:67" ht="28.5" customHeight="1" x14ac:dyDescent="0.35">
      <c r="A28" s="66" t="s">
        <v>203</v>
      </c>
      <c r="B28" s="66">
        <v>54624600340</v>
      </c>
      <c r="C28" s="66" t="s">
        <v>80</v>
      </c>
      <c r="D28" s="66" t="s">
        <v>204</v>
      </c>
      <c r="E28" s="66" t="s">
        <v>132</v>
      </c>
      <c r="F28" s="66" t="s">
        <v>83</v>
      </c>
      <c r="G28" s="66">
        <v>2125</v>
      </c>
      <c r="H28" s="66" t="str">
        <f>"02 9209 4309"</f>
        <v>02 9209 4309</v>
      </c>
      <c r="I28" s="66" t="str">
        <f>"0416007089"</f>
        <v>0416007089</v>
      </c>
      <c r="J28" s="68" t="s">
        <v>205</v>
      </c>
      <c r="K28" s="68" t="s">
        <v>206</v>
      </c>
      <c r="L28" s="59"/>
      <c r="M28" s="60"/>
      <c r="N28" s="60"/>
      <c r="O28" s="60"/>
      <c r="P28" s="60"/>
      <c r="Q28" s="61"/>
      <c r="R28" s="32"/>
      <c r="S28" s="33"/>
      <c r="T28" s="33"/>
      <c r="U28" s="33"/>
      <c r="V28" s="34"/>
      <c r="W28" s="35"/>
      <c r="X28" s="36"/>
      <c r="Y28" s="36"/>
      <c r="Z28" s="36"/>
      <c r="AA28" s="37"/>
      <c r="AB28" s="38"/>
      <c r="AC28" s="39"/>
      <c r="AD28" s="40"/>
      <c r="AE28" s="41"/>
      <c r="AF28" s="42"/>
      <c r="AG28" s="42"/>
      <c r="AH28" s="42"/>
      <c r="AI28" s="43"/>
      <c r="AJ28" s="44"/>
      <c r="AK28" s="45"/>
      <c r="AL28" s="45"/>
      <c r="AM28" s="45"/>
      <c r="AN28" s="46"/>
      <c r="AO28" s="47"/>
      <c r="AP28" s="48"/>
      <c r="AQ28" s="48"/>
      <c r="AR28" s="48"/>
      <c r="AS28" s="48"/>
      <c r="AT28" s="49"/>
      <c r="AU28" s="50" t="s">
        <v>87</v>
      </c>
      <c r="AV28" s="51" t="s">
        <v>87</v>
      </c>
      <c r="AW28" s="51" t="s">
        <v>87</v>
      </c>
      <c r="AX28" s="52" t="s">
        <v>87</v>
      </c>
      <c r="AY28" s="53"/>
      <c r="AZ28" s="80"/>
      <c r="BA28" s="54"/>
      <c r="BB28" s="55"/>
      <c r="BC28" s="55"/>
      <c r="BD28" s="55" t="s">
        <v>87</v>
      </c>
      <c r="BE28" s="55"/>
      <c r="BF28" s="55"/>
      <c r="BG28" s="56"/>
      <c r="BH28" s="57" t="s">
        <v>87</v>
      </c>
      <c r="BI28" s="58" t="s">
        <v>87</v>
      </c>
      <c r="BJ28" s="58" t="s">
        <v>87</v>
      </c>
      <c r="BK28" s="58" t="s">
        <v>87</v>
      </c>
      <c r="BL28" s="58" t="s">
        <v>87</v>
      </c>
      <c r="BM28" s="58" t="s">
        <v>87</v>
      </c>
      <c r="BN28" s="58" t="s">
        <v>87</v>
      </c>
      <c r="BO28" s="58" t="s">
        <v>87</v>
      </c>
    </row>
    <row r="29" spans="1:67" ht="28.5" customHeight="1" x14ac:dyDescent="0.35">
      <c r="A29" s="66" t="s">
        <v>207</v>
      </c>
      <c r="B29" s="66">
        <v>95798771519</v>
      </c>
      <c r="C29" s="66" t="s">
        <v>80</v>
      </c>
      <c r="D29" s="66" t="s">
        <v>208</v>
      </c>
      <c r="E29" s="66" t="s">
        <v>90</v>
      </c>
      <c r="F29" s="66" t="s">
        <v>83</v>
      </c>
      <c r="G29" s="66">
        <v>2137</v>
      </c>
      <c r="H29" s="66"/>
      <c r="I29" s="67" t="s">
        <v>209</v>
      </c>
      <c r="J29" s="68" t="s">
        <v>210</v>
      </c>
      <c r="K29" s="68" t="s">
        <v>211</v>
      </c>
      <c r="L29" s="59"/>
      <c r="M29" s="60"/>
      <c r="N29" s="60"/>
      <c r="O29" s="60"/>
      <c r="P29" s="60"/>
      <c r="Q29" s="61"/>
      <c r="R29" s="32"/>
      <c r="S29" s="33"/>
      <c r="T29" s="33"/>
      <c r="U29" s="33"/>
      <c r="V29" s="34"/>
      <c r="W29" s="35"/>
      <c r="X29" s="36"/>
      <c r="Y29" s="36"/>
      <c r="Z29" s="36"/>
      <c r="AA29" s="37"/>
      <c r="AB29" s="38"/>
      <c r="AC29" s="39"/>
      <c r="AD29" s="40"/>
      <c r="AE29" s="41"/>
      <c r="AF29" s="42"/>
      <c r="AG29" s="42"/>
      <c r="AH29" s="42"/>
      <c r="AI29" s="43"/>
      <c r="AJ29" s="44"/>
      <c r="AK29" s="45"/>
      <c r="AL29" s="45"/>
      <c r="AM29" s="45"/>
      <c r="AN29" s="46"/>
      <c r="AO29" s="47"/>
      <c r="AP29" s="48"/>
      <c r="AQ29" s="48"/>
      <c r="AR29" s="48"/>
      <c r="AS29" s="48"/>
      <c r="AT29" s="49"/>
      <c r="AU29" s="50"/>
      <c r="AV29" s="51"/>
      <c r="AW29" s="51"/>
      <c r="AX29" s="52"/>
      <c r="AY29" s="53"/>
      <c r="AZ29" s="80"/>
      <c r="BA29" s="54"/>
      <c r="BB29" s="55"/>
      <c r="BC29" s="55"/>
      <c r="BD29" s="55"/>
      <c r="BE29" s="55"/>
      <c r="BF29" s="55"/>
      <c r="BG29" s="56"/>
      <c r="BH29" s="57" t="s">
        <v>87</v>
      </c>
      <c r="BI29" s="58" t="s">
        <v>87</v>
      </c>
      <c r="BJ29" s="58" t="s">
        <v>87</v>
      </c>
      <c r="BK29" s="58" t="s">
        <v>87</v>
      </c>
      <c r="BL29" s="58"/>
      <c r="BM29" s="58"/>
      <c r="BN29" s="58" t="s">
        <v>87</v>
      </c>
      <c r="BO29" s="58" t="s">
        <v>87</v>
      </c>
    </row>
    <row r="30" spans="1:67" ht="28.5" customHeight="1" x14ac:dyDescent="0.35">
      <c r="A30" s="66" t="s">
        <v>212</v>
      </c>
      <c r="B30" s="66">
        <v>66061404957</v>
      </c>
      <c r="C30" s="66" t="s">
        <v>80</v>
      </c>
      <c r="D30" s="66" t="s">
        <v>213</v>
      </c>
      <c r="E30" s="66" t="s">
        <v>132</v>
      </c>
      <c r="F30" s="66" t="s">
        <v>83</v>
      </c>
      <c r="G30" s="66" t="str">
        <f>"2000"</f>
        <v>2000</v>
      </c>
      <c r="H30" s="66" t="str">
        <f>"02 9151 7400"</f>
        <v>02 9151 7400</v>
      </c>
      <c r="I30" s="66" t="str">
        <f>""</f>
        <v/>
      </c>
      <c r="J30" s="68" t="s">
        <v>214</v>
      </c>
      <c r="K30" s="68" t="s">
        <v>215</v>
      </c>
      <c r="L30" s="59"/>
      <c r="M30" s="60"/>
      <c r="N30" s="60"/>
      <c r="O30" s="60"/>
      <c r="P30" s="60"/>
      <c r="Q30" s="61"/>
      <c r="R30" s="32" t="s">
        <v>87</v>
      </c>
      <c r="S30" s="33" t="s">
        <v>87</v>
      </c>
      <c r="T30" s="33" t="s">
        <v>87</v>
      </c>
      <c r="U30" s="33" t="s">
        <v>87</v>
      </c>
      <c r="V30" s="34" t="s">
        <v>87</v>
      </c>
      <c r="W30" s="35" t="s">
        <v>87</v>
      </c>
      <c r="X30" s="36" t="s">
        <v>87</v>
      </c>
      <c r="Y30" s="36"/>
      <c r="Z30" s="36" t="s">
        <v>87</v>
      </c>
      <c r="AA30" s="37" t="s">
        <v>87</v>
      </c>
      <c r="AB30" s="38"/>
      <c r="AC30" s="39"/>
      <c r="AD30" s="40"/>
      <c r="AE30" s="41"/>
      <c r="AF30" s="42"/>
      <c r="AG30" s="42"/>
      <c r="AH30" s="42"/>
      <c r="AI30" s="43"/>
      <c r="AJ30" s="44"/>
      <c r="AK30" s="45"/>
      <c r="AL30" s="45"/>
      <c r="AM30" s="45"/>
      <c r="AN30" s="46"/>
      <c r="AO30" s="47"/>
      <c r="AP30" s="48"/>
      <c r="AQ30" s="48"/>
      <c r="AR30" s="48"/>
      <c r="AS30" s="48"/>
      <c r="AT30" s="49"/>
      <c r="AU30" s="50"/>
      <c r="AV30" s="51"/>
      <c r="AW30" s="51"/>
      <c r="AX30" s="52"/>
      <c r="AY30" s="53"/>
      <c r="AZ30" s="80"/>
      <c r="BA30" s="54"/>
      <c r="BB30" s="55"/>
      <c r="BC30" s="55"/>
      <c r="BD30" s="55"/>
      <c r="BE30" s="55"/>
      <c r="BF30" s="55"/>
      <c r="BG30" s="56"/>
      <c r="BH30" s="57"/>
      <c r="BI30" s="58"/>
      <c r="BJ30" s="58"/>
      <c r="BK30" s="58"/>
      <c r="BL30" s="58"/>
      <c r="BM30" s="58"/>
      <c r="BN30" s="58"/>
      <c r="BO30" s="58"/>
    </row>
    <row r="31" spans="1:67" ht="28.5" customHeight="1" x14ac:dyDescent="0.35">
      <c r="A31" s="66" t="s">
        <v>216</v>
      </c>
      <c r="B31" s="66">
        <v>36241969774</v>
      </c>
      <c r="C31" s="66" t="s">
        <v>80</v>
      </c>
      <c r="D31" s="66" t="s">
        <v>217</v>
      </c>
      <c r="E31" s="66" t="s">
        <v>218</v>
      </c>
      <c r="F31" s="66" t="s">
        <v>83</v>
      </c>
      <c r="G31" s="66">
        <v>2000</v>
      </c>
      <c r="H31" s="66"/>
      <c r="I31" s="67" t="s">
        <v>219</v>
      </c>
      <c r="J31" s="68" t="s">
        <v>220</v>
      </c>
      <c r="K31" s="68" t="s">
        <v>221</v>
      </c>
      <c r="L31" s="59"/>
      <c r="M31" s="60"/>
      <c r="N31" s="60"/>
      <c r="O31" s="60"/>
      <c r="P31" s="60"/>
      <c r="Q31" s="61"/>
      <c r="R31" s="32"/>
      <c r="S31" s="33"/>
      <c r="T31" s="33"/>
      <c r="U31" s="33"/>
      <c r="V31" s="34"/>
      <c r="W31" s="35"/>
      <c r="X31" s="36"/>
      <c r="Y31" s="36"/>
      <c r="Z31" s="36"/>
      <c r="AA31" s="37"/>
      <c r="AB31" s="38"/>
      <c r="AC31" s="39"/>
      <c r="AD31" s="40"/>
      <c r="AE31" s="41"/>
      <c r="AF31" s="42"/>
      <c r="AG31" s="42"/>
      <c r="AH31" s="42"/>
      <c r="AI31" s="43"/>
      <c r="AJ31" s="44"/>
      <c r="AK31" s="45"/>
      <c r="AL31" s="45"/>
      <c r="AM31" s="45"/>
      <c r="AN31" s="46"/>
      <c r="AO31" s="47"/>
      <c r="AP31" s="48"/>
      <c r="AQ31" s="48"/>
      <c r="AR31" s="48"/>
      <c r="AS31" s="48"/>
      <c r="AT31" s="49"/>
      <c r="AU31" s="50"/>
      <c r="AV31" s="51"/>
      <c r="AW31" s="51"/>
      <c r="AX31" s="52"/>
      <c r="AY31" s="53"/>
      <c r="AZ31" s="80"/>
      <c r="BA31" s="54"/>
      <c r="BB31" s="55"/>
      <c r="BC31" s="55"/>
      <c r="BD31" s="55"/>
      <c r="BE31" s="55"/>
      <c r="BF31" s="55"/>
      <c r="BG31" s="56"/>
      <c r="BH31" s="57" t="s">
        <v>87</v>
      </c>
      <c r="BI31" s="58" t="s">
        <v>87</v>
      </c>
      <c r="BJ31" s="58" t="s">
        <v>87</v>
      </c>
      <c r="BK31" s="58" t="s">
        <v>87</v>
      </c>
      <c r="BL31" s="58" t="s">
        <v>87</v>
      </c>
      <c r="BM31" s="58" t="s">
        <v>87</v>
      </c>
      <c r="BN31" s="58" t="s">
        <v>87</v>
      </c>
      <c r="BO31" s="58" t="s">
        <v>87</v>
      </c>
    </row>
    <row r="32" spans="1:67" ht="28.5" customHeight="1" x14ac:dyDescent="0.35">
      <c r="A32" s="66" t="s">
        <v>1433</v>
      </c>
      <c r="B32" s="66">
        <v>70639438850</v>
      </c>
      <c r="C32" s="66" t="s">
        <v>80</v>
      </c>
      <c r="D32" s="66" t="s">
        <v>1434</v>
      </c>
      <c r="E32" s="66" t="s">
        <v>1435</v>
      </c>
      <c r="F32" s="66" t="s">
        <v>83</v>
      </c>
      <c r="G32" s="66">
        <v>2428</v>
      </c>
      <c r="H32" s="66"/>
      <c r="I32" s="67" t="s">
        <v>1436</v>
      </c>
      <c r="J32" s="68" t="s">
        <v>1437</v>
      </c>
      <c r="K32" s="68" t="s">
        <v>1438</v>
      </c>
      <c r="L32" s="59"/>
      <c r="M32" s="60"/>
      <c r="N32" s="60"/>
      <c r="O32" s="60"/>
      <c r="P32" s="60"/>
      <c r="Q32" s="61"/>
      <c r="R32" s="32"/>
      <c r="S32" s="33" t="s">
        <v>87</v>
      </c>
      <c r="T32" s="33"/>
      <c r="U32" s="33"/>
      <c r="V32" s="34"/>
      <c r="W32" s="35"/>
      <c r="X32" s="36"/>
      <c r="Y32" s="36"/>
      <c r="Z32" s="36"/>
      <c r="AA32" s="37"/>
      <c r="AB32" s="38"/>
      <c r="AC32" s="39"/>
      <c r="AD32" s="40"/>
      <c r="AE32" s="41"/>
      <c r="AF32" s="42"/>
      <c r="AG32" s="42"/>
      <c r="AH32" s="42"/>
      <c r="AI32" s="43"/>
      <c r="AJ32" s="44"/>
      <c r="AK32" s="45"/>
      <c r="AL32" s="45"/>
      <c r="AM32" s="45"/>
      <c r="AN32" s="46"/>
      <c r="AO32" s="47"/>
      <c r="AP32" s="48"/>
      <c r="AQ32" s="48"/>
      <c r="AR32" s="48"/>
      <c r="AS32" s="48"/>
      <c r="AT32" s="49"/>
      <c r="AU32" s="50"/>
      <c r="AV32" s="51"/>
      <c r="AW32" s="51"/>
      <c r="AX32" s="52"/>
      <c r="AY32" s="53"/>
      <c r="AZ32" s="80"/>
      <c r="BA32" s="54"/>
      <c r="BB32" s="55"/>
      <c r="BC32" s="55"/>
      <c r="BD32" s="55"/>
      <c r="BE32" s="55"/>
      <c r="BF32" s="55"/>
      <c r="BG32" s="56"/>
      <c r="BH32" s="57"/>
      <c r="BI32" s="58"/>
      <c r="BJ32" s="58"/>
      <c r="BK32" s="58"/>
      <c r="BL32" s="58"/>
      <c r="BM32" s="58"/>
      <c r="BN32" s="58"/>
      <c r="BO32" s="58"/>
    </row>
    <row r="33" spans="1:67" ht="28.5" customHeight="1" x14ac:dyDescent="0.35">
      <c r="A33" s="66" t="s">
        <v>222</v>
      </c>
      <c r="B33" s="66">
        <v>88629387257</v>
      </c>
      <c r="C33" s="66" t="s">
        <v>80</v>
      </c>
      <c r="D33" s="66" t="s">
        <v>223</v>
      </c>
      <c r="E33" s="66" t="s">
        <v>152</v>
      </c>
      <c r="F33" s="66" t="s">
        <v>83</v>
      </c>
      <c r="G33" s="66">
        <v>2017</v>
      </c>
      <c r="H33" s="66" t="s">
        <v>224</v>
      </c>
      <c r="I33" s="67" t="s">
        <v>225</v>
      </c>
      <c r="J33" s="68" t="s">
        <v>226</v>
      </c>
      <c r="K33" s="68" t="s">
        <v>227</v>
      </c>
      <c r="L33" s="59"/>
      <c r="M33" s="60"/>
      <c r="N33" s="60"/>
      <c r="O33" s="60"/>
      <c r="P33" s="60"/>
      <c r="Q33" s="61"/>
      <c r="R33" s="32" t="s">
        <v>87</v>
      </c>
      <c r="S33" s="33" t="s">
        <v>87</v>
      </c>
      <c r="T33" s="33" t="s">
        <v>87</v>
      </c>
      <c r="U33" s="33" t="s">
        <v>87</v>
      </c>
      <c r="V33" s="34" t="s">
        <v>87</v>
      </c>
      <c r="W33" s="35" t="s">
        <v>87</v>
      </c>
      <c r="X33" s="36" t="s">
        <v>87</v>
      </c>
      <c r="Y33" s="36"/>
      <c r="Z33" s="36"/>
      <c r="AA33" s="37" t="s">
        <v>87</v>
      </c>
      <c r="AB33" s="38"/>
      <c r="AC33" s="39"/>
      <c r="AD33" s="40"/>
      <c r="AE33" s="41"/>
      <c r="AF33" s="42"/>
      <c r="AG33" s="42"/>
      <c r="AH33" s="42"/>
      <c r="AI33" s="43"/>
      <c r="AJ33" s="44"/>
      <c r="AK33" s="45"/>
      <c r="AL33" s="45"/>
      <c r="AM33" s="45"/>
      <c r="AN33" s="46"/>
      <c r="AO33" s="47"/>
      <c r="AP33" s="48"/>
      <c r="AQ33" s="48"/>
      <c r="AR33" s="48"/>
      <c r="AS33" s="48"/>
      <c r="AT33" s="49"/>
      <c r="AU33" s="50" t="s">
        <v>87</v>
      </c>
      <c r="AV33" s="51" t="s">
        <v>87</v>
      </c>
      <c r="AW33" s="51"/>
      <c r="AX33" s="52"/>
      <c r="AY33" s="53"/>
      <c r="AZ33" s="80"/>
      <c r="BA33" s="54"/>
      <c r="BB33" s="55"/>
      <c r="BC33" s="55"/>
      <c r="BD33" s="55"/>
      <c r="BE33" s="55"/>
      <c r="BF33" s="55"/>
      <c r="BG33" s="56"/>
      <c r="BH33" s="57"/>
      <c r="BI33" s="58"/>
      <c r="BJ33" s="58"/>
      <c r="BK33" s="58"/>
      <c r="BL33" s="58"/>
      <c r="BM33" s="58"/>
      <c r="BN33" s="58"/>
      <c r="BO33" s="58"/>
    </row>
    <row r="34" spans="1:67" ht="28.5" customHeight="1" x14ac:dyDescent="0.35">
      <c r="A34" s="66" t="s">
        <v>228</v>
      </c>
      <c r="B34" s="66">
        <v>43150813853</v>
      </c>
      <c r="C34" s="66" t="s">
        <v>80</v>
      </c>
      <c r="D34" s="66" t="s">
        <v>229</v>
      </c>
      <c r="E34" s="66" t="s">
        <v>230</v>
      </c>
      <c r="F34" s="66" t="s">
        <v>83</v>
      </c>
      <c r="G34" s="66">
        <v>2009</v>
      </c>
      <c r="H34" s="67" t="s">
        <v>231</v>
      </c>
      <c r="I34" s="67" t="s">
        <v>232</v>
      </c>
      <c r="J34" s="68" t="s">
        <v>233</v>
      </c>
      <c r="K34" s="68" t="s">
        <v>234</v>
      </c>
      <c r="L34" s="59"/>
      <c r="M34" s="60"/>
      <c r="N34" s="60"/>
      <c r="O34" s="60"/>
      <c r="P34" s="60"/>
      <c r="Q34" s="61"/>
      <c r="R34" s="32"/>
      <c r="S34" s="33"/>
      <c r="T34" s="33"/>
      <c r="U34" s="33"/>
      <c r="V34" s="34"/>
      <c r="W34" s="35"/>
      <c r="X34" s="36"/>
      <c r="Y34" s="36"/>
      <c r="Z34" s="36" t="s">
        <v>87</v>
      </c>
      <c r="AA34" s="37" t="s">
        <v>87</v>
      </c>
      <c r="AB34" s="38"/>
      <c r="AC34" s="39"/>
      <c r="AD34" s="40"/>
      <c r="AE34" s="41"/>
      <c r="AF34" s="42"/>
      <c r="AG34" s="42"/>
      <c r="AH34" s="42"/>
      <c r="AI34" s="43"/>
      <c r="AJ34" s="44"/>
      <c r="AK34" s="45"/>
      <c r="AL34" s="45"/>
      <c r="AM34" s="45"/>
      <c r="AN34" s="46"/>
      <c r="AO34" s="47"/>
      <c r="AP34" s="48"/>
      <c r="AQ34" s="48"/>
      <c r="AR34" s="48"/>
      <c r="AS34" s="48"/>
      <c r="AT34" s="49"/>
      <c r="AU34" s="50"/>
      <c r="AV34" s="51"/>
      <c r="AW34" s="51"/>
      <c r="AX34" s="52"/>
      <c r="AY34" s="53"/>
      <c r="AZ34" s="80"/>
      <c r="BA34" s="54"/>
      <c r="BB34" s="55"/>
      <c r="BC34" s="55"/>
      <c r="BD34" s="55"/>
      <c r="BE34" s="55"/>
      <c r="BF34" s="55"/>
      <c r="BG34" s="56"/>
      <c r="BH34" s="57"/>
      <c r="BI34" s="58"/>
      <c r="BJ34" s="58"/>
      <c r="BK34" s="58"/>
      <c r="BL34" s="58"/>
      <c r="BM34" s="58"/>
      <c r="BN34" s="58"/>
      <c r="BO34" s="58"/>
    </row>
    <row r="35" spans="1:67" ht="28.5" customHeight="1" x14ac:dyDescent="0.35">
      <c r="A35" s="66" t="s">
        <v>235</v>
      </c>
      <c r="B35" s="66">
        <v>38631801940</v>
      </c>
      <c r="C35" s="66" t="s">
        <v>80</v>
      </c>
      <c r="D35" s="66" t="s">
        <v>236</v>
      </c>
      <c r="E35" s="66" t="s">
        <v>237</v>
      </c>
      <c r="F35" s="66" t="s">
        <v>83</v>
      </c>
      <c r="G35" s="66" t="str">
        <f>"2110"</f>
        <v>2110</v>
      </c>
      <c r="H35" s="66" t="str">
        <f>"02 9816 4068"</f>
        <v>02 9816 4068</v>
      </c>
      <c r="I35" s="66" t="str">
        <f>"0407853367"</f>
        <v>0407853367</v>
      </c>
      <c r="J35" s="68" t="s">
        <v>238</v>
      </c>
      <c r="K35" s="68" t="s">
        <v>239</v>
      </c>
      <c r="L35" s="59"/>
      <c r="M35" s="60"/>
      <c r="N35" s="60"/>
      <c r="O35" s="60"/>
      <c r="P35" s="60"/>
      <c r="Q35" s="61"/>
      <c r="R35" s="32"/>
      <c r="S35" s="33"/>
      <c r="T35" s="33"/>
      <c r="U35" s="33"/>
      <c r="V35" s="34"/>
      <c r="W35" s="35" t="s">
        <v>87</v>
      </c>
      <c r="X35" s="36" t="s">
        <v>87</v>
      </c>
      <c r="Y35" s="36" t="s">
        <v>87</v>
      </c>
      <c r="Z35" s="36"/>
      <c r="AA35" s="37" t="s">
        <v>87</v>
      </c>
      <c r="AB35" s="38"/>
      <c r="AC35" s="39"/>
      <c r="AD35" s="40"/>
      <c r="AE35" s="41"/>
      <c r="AF35" s="42"/>
      <c r="AG35" s="42"/>
      <c r="AH35" s="42"/>
      <c r="AI35" s="43"/>
      <c r="AJ35" s="44"/>
      <c r="AK35" s="45"/>
      <c r="AL35" s="45"/>
      <c r="AM35" s="45"/>
      <c r="AN35" s="46"/>
      <c r="AO35" s="47"/>
      <c r="AP35" s="48"/>
      <c r="AQ35" s="48"/>
      <c r="AR35" s="48"/>
      <c r="AS35" s="48"/>
      <c r="AT35" s="49"/>
      <c r="AU35" s="50" t="s">
        <v>87</v>
      </c>
      <c r="AV35" s="51" t="s">
        <v>87</v>
      </c>
      <c r="AW35" s="51" t="s">
        <v>87</v>
      </c>
      <c r="AX35" s="52" t="s">
        <v>87</v>
      </c>
      <c r="AY35" s="53" t="s">
        <v>87</v>
      </c>
      <c r="AZ35" s="80" t="s">
        <v>87</v>
      </c>
      <c r="BA35" s="54"/>
      <c r="BB35" s="55"/>
      <c r="BC35" s="55" t="s">
        <v>87</v>
      </c>
      <c r="BD35" s="55" t="s">
        <v>87</v>
      </c>
      <c r="BE35" s="55" t="s">
        <v>87</v>
      </c>
      <c r="BF35" s="55" t="s">
        <v>87</v>
      </c>
      <c r="BG35" s="56" t="s">
        <v>87</v>
      </c>
      <c r="BH35" s="57" t="s">
        <v>87</v>
      </c>
      <c r="BI35" s="58" t="s">
        <v>87</v>
      </c>
      <c r="BJ35" s="58" t="s">
        <v>87</v>
      </c>
      <c r="BK35" s="58" t="s">
        <v>87</v>
      </c>
      <c r="BL35" s="58" t="s">
        <v>87</v>
      </c>
      <c r="BM35" s="58" t="s">
        <v>87</v>
      </c>
      <c r="BN35" s="58" t="s">
        <v>87</v>
      </c>
      <c r="BO35" s="58" t="s">
        <v>87</v>
      </c>
    </row>
    <row r="36" spans="1:67" ht="28.5" customHeight="1" x14ac:dyDescent="0.35">
      <c r="A36" s="66" t="s">
        <v>240</v>
      </c>
      <c r="B36" s="66">
        <v>89937643265</v>
      </c>
      <c r="C36" s="66" t="s">
        <v>80</v>
      </c>
      <c r="D36" s="66" t="s">
        <v>241</v>
      </c>
      <c r="E36" s="66" t="s">
        <v>242</v>
      </c>
      <c r="F36" s="66" t="s">
        <v>83</v>
      </c>
      <c r="G36" s="66">
        <v>2065</v>
      </c>
      <c r="H36" s="67" t="s">
        <v>243</v>
      </c>
      <c r="I36" s="67"/>
      <c r="J36" s="68" t="s">
        <v>244</v>
      </c>
      <c r="K36" s="68" t="s">
        <v>245</v>
      </c>
      <c r="L36" s="59"/>
      <c r="M36" s="60"/>
      <c r="N36" s="60"/>
      <c r="O36" s="60"/>
      <c r="P36" s="60"/>
      <c r="Q36" s="61"/>
      <c r="R36" s="32"/>
      <c r="S36" s="33"/>
      <c r="T36" s="33"/>
      <c r="U36" s="33"/>
      <c r="V36" s="34"/>
      <c r="W36" s="35"/>
      <c r="X36" s="36"/>
      <c r="Y36" s="36"/>
      <c r="Z36" s="36"/>
      <c r="AA36" s="37"/>
      <c r="AB36" s="38"/>
      <c r="AC36" s="39"/>
      <c r="AD36" s="40"/>
      <c r="AE36" s="41"/>
      <c r="AF36" s="42"/>
      <c r="AG36" s="42"/>
      <c r="AH36" s="42"/>
      <c r="AI36" s="43"/>
      <c r="AJ36" s="44"/>
      <c r="AK36" s="45"/>
      <c r="AL36" s="45"/>
      <c r="AM36" s="45"/>
      <c r="AN36" s="46"/>
      <c r="AO36" s="47"/>
      <c r="AP36" s="48"/>
      <c r="AQ36" s="48"/>
      <c r="AR36" s="48"/>
      <c r="AS36" s="48"/>
      <c r="AT36" s="49"/>
      <c r="AU36" s="50"/>
      <c r="AV36" s="51"/>
      <c r="AW36" s="51"/>
      <c r="AX36" s="52"/>
      <c r="AY36" s="53"/>
      <c r="AZ36" s="80"/>
      <c r="BA36" s="54"/>
      <c r="BB36" s="55"/>
      <c r="BC36" s="55"/>
      <c r="BD36" s="55"/>
      <c r="BE36" s="55"/>
      <c r="BF36" s="55"/>
      <c r="BG36" s="56"/>
      <c r="BH36" s="57"/>
      <c r="BI36" s="58" t="s">
        <v>87</v>
      </c>
      <c r="BJ36" s="58" t="s">
        <v>87</v>
      </c>
      <c r="BK36" s="58" t="s">
        <v>87</v>
      </c>
      <c r="BL36" s="58"/>
      <c r="BM36" s="58" t="s">
        <v>87</v>
      </c>
      <c r="BN36" s="58" t="s">
        <v>87</v>
      </c>
      <c r="BO36" s="58" t="s">
        <v>87</v>
      </c>
    </row>
    <row r="37" spans="1:67" ht="28.5" customHeight="1" x14ac:dyDescent="0.35">
      <c r="A37" s="66" t="s">
        <v>246</v>
      </c>
      <c r="B37" s="66">
        <v>50636552719</v>
      </c>
      <c r="C37" s="66" t="s">
        <v>80</v>
      </c>
      <c r="D37" s="66" t="s">
        <v>247</v>
      </c>
      <c r="E37" s="66" t="s">
        <v>132</v>
      </c>
      <c r="F37" s="66" t="s">
        <v>83</v>
      </c>
      <c r="G37" s="66" t="str">
        <f>"2112"</f>
        <v>2112</v>
      </c>
      <c r="H37" s="66"/>
      <c r="I37" s="66" t="str">
        <f>"0403128870"</f>
        <v>0403128870</v>
      </c>
      <c r="J37" s="68" t="s">
        <v>248</v>
      </c>
      <c r="K37" s="68" t="s">
        <v>249</v>
      </c>
      <c r="L37" s="59"/>
      <c r="M37" s="60"/>
      <c r="N37" s="60"/>
      <c r="O37" s="60"/>
      <c r="P37" s="60"/>
      <c r="Q37" s="61"/>
      <c r="R37" s="32" t="s">
        <v>87</v>
      </c>
      <c r="S37" s="33" t="s">
        <v>87</v>
      </c>
      <c r="T37" s="33" t="s">
        <v>87</v>
      </c>
      <c r="U37" s="33" t="s">
        <v>87</v>
      </c>
      <c r="V37" s="34" t="s">
        <v>87</v>
      </c>
      <c r="W37" s="35"/>
      <c r="X37" s="36"/>
      <c r="Y37" s="36"/>
      <c r="Z37" s="36"/>
      <c r="AA37" s="37"/>
      <c r="AB37" s="38"/>
      <c r="AC37" s="39"/>
      <c r="AD37" s="40"/>
      <c r="AE37" s="41"/>
      <c r="AF37" s="42"/>
      <c r="AG37" s="42"/>
      <c r="AH37" s="42"/>
      <c r="AI37" s="43"/>
      <c r="AJ37" s="44"/>
      <c r="AK37" s="45"/>
      <c r="AL37" s="45"/>
      <c r="AM37" s="45"/>
      <c r="AN37" s="46"/>
      <c r="AO37" s="47"/>
      <c r="AP37" s="48"/>
      <c r="AQ37" s="48"/>
      <c r="AR37" s="48"/>
      <c r="AS37" s="48"/>
      <c r="AT37" s="49"/>
      <c r="AU37" s="50" t="s">
        <v>87</v>
      </c>
      <c r="AV37" s="51" t="s">
        <v>87</v>
      </c>
      <c r="AW37" s="51" t="s">
        <v>87</v>
      </c>
      <c r="AX37" s="52" t="s">
        <v>87</v>
      </c>
      <c r="AY37" s="53"/>
      <c r="AZ37" s="80"/>
      <c r="BA37" s="54" t="s">
        <v>87</v>
      </c>
      <c r="BB37" s="55" t="s">
        <v>87</v>
      </c>
      <c r="BC37" s="55" t="s">
        <v>87</v>
      </c>
      <c r="BD37" s="55" t="s">
        <v>87</v>
      </c>
      <c r="BE37" s="55" t="s">
        <v>87</v>
      </c>
      <c r="BF37" s="55" t="s">
        <v>87</v>
      </c>
      <c r="BG37" s="56" t="s">
        <v>87</v>
      </c>
      <c r="BH37" s="57"/>
      <c r="BI37" s="58"/>
      <c r="BJ37" s="58"/>
      <c r="BK37" s="58"/>
      <c r="BL37" s="58"/>
      <c r="BM37" s="58"/>
      <c r="BN37" s="58"/>
      <c r="BO37" s="58"/>
    </row>
    <row r="38" spans="1:67" ht="28.5" customHeight="1" x14ac:dyDescent="0.35">
      <c r="A38" s="66" t="s">
        <v>250</v>
      </c>
      <c r="B38" s="66">
        <v>90626443267</v>
      </c>
      <c r="C38" s="66" t="s">
        <v>87</v>
      </c>
      <c r="D38" s="66" t="s">
        <v>251</v>
      </c>
      <c r="E38" s="66" t="s">
        <v>252</v>
      </c>
      <c r="F38" s="66" t="s">
        <v>83</v>
      </c>
      <c r="G38" s="66" t="str">
        <f>"2008"</f>
        <v>2008</v>
      </c>
      <c r="H38" s="66" t="str">
        <f>"02 8937 2133"</f>
        <v>02 8937 2133</v>
      </c>
      <c r="I38" s="66" t="str">
        <f>"0408585222"</f>
        <v>0408585222</v>
      </c>
      <c r="J38" s="68" t="s">
        <v>253</v>
      </c>
      <c r="K38" s="68" t="s">
        <v>254</v>
      </c>
      <c r="L38" s="59"/>
      <c r="M38" s="60"/>
      <c r="N38" s="60"/>
      <c r="O38" s="60"/>
      <c r="P38" s="60"/>
      <c r="Q38" s="61"/>
      <c r="R38" s="32"/>
      <c r="S38" s="33"/>
      <c r="T38" s="33"/>
      <c r="U38" s="33"/>
      <c r="V38" s="34"/>
      <c r="W38" s="35"/>
      <c r="X38" s="36"/>
      <c r="Y38" s="36"/>
      <c r="Z38" s="36"/>
      <c r="AA38" s="37"/>
      <c r="AB38" s="38"/>
      <c r="AC38" s="39"/>
      <c r="AD38" s="40"/>
      <c r="AE38" s="41"/>
      <c r="AF38" s="42"/>
      <c r="AG38" s="42"/>
      <c r="AH38" s="42"/>
      <c r="AI38" s="43"/>
      <c r="AJ38" s="44" t="s">
        <v>87</v>
      </c>
      <c r="AK38" s="45" t="s">
        <v>87</v>
      </c>
      <c r="AL38" s="45" t="s">
        <v>87</v>
      </c>
      <c r="AM38" s="45" t="s">
        <v>87</v>
      </c>
      <c r="AN38" s="46" t="s">
        <v>87</v>
      </c>
      <c r="AO38" s="47"/>
      <c r="AP38" s="48"/>
      <c r="AQ38" s="48"/>
      <c r="AR38" s="48"/>
      <c r="AS38" s="48"/>
      <c r="AT38" s="49"/>
      <c r="AU38" s="50" t="s">
        <v>87</v>
      </c>
      <c r="AV38" s="51" t="s">
        <v>87</v>
      </c>
      <c r="AW38" s="51" t="s">
        <v>87</v>
      </c>
      <c r="AX38" s="52" t="s">
        <v>87</v>
      </c>
      <c r="AY38" s="53"/>
      <c r="AZ38" s="80"/>
      <c r="BA38" s="54"/>
      <c r="BB38" s="55"/>
      <c r="BC38" s="55"/>
      <c r="BD38" s="55"/>
      <c r="BE38" s="55"/>
      <c r="BF38" s="55"/>
      <c r="BG38" s="56"/>
      <c r="BH38" s="57" t="s">
        <v>87</v>
      </c>
      <c r="BI38" s="58" t="s">
        <v>87</v>
      </c>
      <c r="BJ38" s="58"/>
      <c r="BK38" s="58"/>
      <c r="BL38" s="58" t="s">
        <v>87</v>
      </c>
      <c r="BM38" s="58" t="s">
        <v>87</v>
      </c>
      <c r="BN38" s="58" t="s">
        <v>87</v>
      </c>
      <c r="BO38" s="58" t="s">
        <v>87</v>
      </c>
    </row>
    <row r="39" spans="1:67" ht="28.5" customHeight="1" x14ac:dyDescent="0.35">
      <c r="A39" s="66" t="s">
        <v>255</v>
      </c>
      <c r="B39" s="66">
        <v>99646287578</v>
      </c>
      <c r="C39" s="66" t="s">
        <v>80</v>
      </c>
      <c r="D39" s="66" t="s">
        <v>256</v>
      </c>
      <c r="E39" s="66" t="s">
        <v>257</v>
      </c>
      <c r="F39" s="66" t="s">
        <v>83</v>
      </c>
      <c r="G39" s="66">
        <v>2200</v>
      </c>
      <c r="H39" s="66"/>
      <c r="I39" s="67" t="s">
        <v>258</v>
      </c>
      <c r="J39" s="68" t="s">
        <v>259</v>
      </c>
      <c r="K39" s="68" t="s">
        <v>260</v>
      </c>
      <c r="L39" s="59"/>
      <c r="M39" s="60"/>
      <c r="N39" s="60"/>
      <c r="O39" s="60"/>
      <c r="P39" s="60"/>
      <c r="Q39" s="61"/>
      <c r="R39" s="32"/>
      <c r="S39" s="33"/>
      <c r="T39" s="33"/>
      <c r="U39" s="33"/>
      <c r="V39" s="34"/>
      <c r="W39" s="35"/>
      <c r="X39" s="36"/>
      <c r="Y39" s="36"/>
      <c r="Z39" s="36"/>
      <c r="AA39" s="37"/>
      <c r="AB39" s="38"/>
      <c r="AC39" s="39"/>
      <c r="AD39" s="40"/>
      <c r="AE39" s="41"/>
      <c r="AF39" s="42"/>
      <c r="AG39" s="42"/>
      <c r="AH39" s="42"/>
      <c r="AI39" s="43"/>
      <c r="AJ39" s="44"/>
      <c r="AK39" s="45"/>
      <c r="AL39" s="45"/>
      <c r="AM39" s="45"/>
      <c r="AN39" s="46"/>
      <c r="AO39" s="47"/>
      <c r="AP39" s="48"/>
      <c r="AQ39" s="48"/>
      <c r="AR39" s="48"/>
      <c r="AS39" s="48"/>
      <c r="AT39" s="49"/>
      <c r="AU39" s="50" t="s">
        <v>87</v>
      </c>
      <c r="AV39" s="51"/>
      <c r="AW39" s="51" t="s">
        <v>87</v>
      </c>
      <c r="AX39" s="52"/>
      <c r="AY39" s="53"/>
      <c r="AZ39" s="80"/>
      <c r="BA39" s="54"/>
      <c r="BB39" s="55"/>
      <c r="BC39" s="55"/>
      <c r="BD39" s="55"/>
      <c r="BE39" s="55"/>
      <c r="BF39" s="55"/>
      <c r="BG39" s="56"/>
      <c r="BH39" s="57"/>
      <c r="BI39" s="58"/>
      <c r="BJ39" s="58"/>
      <c r="BK39" s="58"/>
      <c r="BL39" s="58"/>
      <c r="BM39" s="58"/>
      <c r="BN39" s="58"/>
      <c r="BO39" s="58"/>
    </row>
    <row r="40" spans="1:67" ht="28.5" customHeight="1" x14ac:dyDescent="0.35">
      <c r="A40" s="66" t="s">
        <v>261</v>
      </c>
      <c r="B40" s="66">
        <v>43533837149</v>
      </c>
      <c r="C40" s="66" t="s">
        <v>80</v>
      </c>
      <c r="D40" s="66" t="s">
        <v>262</v>
      </c>
      <c r="E40" s="66" t="s">
        <v>263</v>
      </c>
      <c r="F40" s="66" t="s">
        <v>83</v>
      </c>
      <c r="G40" s="66" t="str">
        <f>"2009"</f>
        <v>2009</v>
      </c>
      <c r="H40" s="69"/>
      <c r="I40" s="67" t="s">
        <v>264</v>
      </c>
      <c r="J40" s="68" t="s">
        <v>265</v>
      </c>
      <c r="K40" s="68" t="s">
        <v>266</v>
      </c>
      <c r="L40" s="59"/>
      <c r="M40" s="60"/>
      <c r="N40" s="60"/>
      <c r="O40" s="60"/>
      <c r="P40" s="60"/>
      <c r="Q40" s="61"/>
      <c r="R40" s="32" t="s">
        <v>87</v>
      </c>
      <c r="S40" s="33" t="s">
        <v>87</v>
      </c>
      <c r="T40" s="33" t="s">
        <v>87</v>
      </c>
      <c r="U40" s="33" t="s">
        <v>87</v>
      </c>
      <c r="V40" s="34" t="s">
        <v>87</v>
      </c>
      <c r="W40" s="35" t="s">
        <v>87</v>
      </c>
      <c r="X40" s="36" t="s">
        <v>87</v>
      </c>
      <c r="Y40" s="36" t="s">
        <v>87</v>
      </c>
      <c r="Z40" s="36"/>
      <c r="AA40" s="37" t="s">
        <v>87</v>
      </c>
      <c r="AB40" s="38"/>
      <c r="AC40" s="39"/>
      <c r="AD40" s="40"/>
      <c r="AE40" s="41"/>
      <c r="AF40" s="42"/>
      <c r="AG40" s="42"/>
      <c r="AH40" s="42"/>
      <c r="AI40" s="43"/>
      <c r="AJ40" s="44"/>
      <c r="AK40" s="45"/>
      <c r="AL40" s="45"/>
      <c r="AM40" s="45"/>
      <c r="AN40" s="46"/>
      <c r="AO40" s="47"/>
      <c r="AP40" s="48"/>
      <c r="AQ40" s="48"/>
      <c r="AR40" s="48"/>
      <c r="AS40" s="48"/>
      <c r="AT40" s="49"/>
      <c r="AU40" s="50"/>
      <c r="AV40" s="51"/>
      <c r="AW40" s="51"/>
      <c r="AX40" s="52"/>
      <c r="AY40" s="53"/>
      <c r="AZ40" s="80"/>
      <c r="BA40" s="54"/>
      <c r="BB40" s="55"/>
      <c r="BC40" s="55"/>
      <c r="BD40" s="55"/>
      <c r="BE40" s="55"/>
      <c r="BF40" s="55"/>
      <c r="BG40" s="56"/>
      <c r="BH40" s="57" t="s">
        <v>87</v>
      </c>
      <c r="BI40" s="58" t="s">
        <v>87</v>
      </c>
      <c r="BJ40" s="58" t="s">
        <v>87</v>
      </c>
      <c r="BK40" s="58" t="s">
        <v>87</v>
      </c>
      <c r="BL40" s="58" t="s">
        <v>87</v>
      </c>
      <c r="BM40" s="58" t="s">
        <v>87</v>
      </c>
      <c r="BN40" s="58" t="s">
        <v>87</v>
      </c>
      <c r="BO40" s="58" t="s">
        <v>87</v>
      </c>
    </row>
    <row r="41" spans="1:67" ht="28.5" customHeight="1" x14ac:dyDescent="0.35">
      <c r="A41" s="66" t="s">
        <v>267</v>
      </c>
      <c r="B41" s="66">
        <v>90865992095</v>
      </c>
      <c r="C41" s="66" t="s">
        <v>80</v>
      </c>
      <c r="D41" s="66" t="s">
        <v>268</v>
      </c>
      <c r="E41" s="66" t="s">
        <v>152</v>
      </c>
      <c r="F41" s="66" t="s">
        <v>83</v>
      </c>
      <c r="G41" s="66">
        <v>2127</v>
      </c>
      <c r="H41" s="67"/>
      <c r="I41" s="67" t="s">
        <v>269</v>
      </c>
      <c r="J41" s="68" t="s">
        <v>270</v>
      </c>
      <c r="K41" s="68" t="s">
        <v>271</v>
      </c>
      <c r="L41" s="59"/>
      <c r="M41" s="60"/>
      <c r="N41" s="60"/>
      <c r="O41" s="60"/>
      <c r="P41" s="60"/>
      <c r="Q41" s="61"/>
      <c r="R41" s="32" t="s">
        <v>87</v>
      </c>
      <c r="S41" s="33"/>
      <c r="T41" s="33" t="s">
        <v>87</v>
      </c>
      <c r="U41" s="33" t="s">
        <v>87</v>
      </c>
      <c r="V41" s="34" t="s">
        <v>87</v>
      </c>
      <c r="W41" s="35"/>
      <c r="X41" s="36"/>
      <c r="Y41" s="36"/>
      <c r="Z41" s="36"/>
      <c r="AA41" s="37"/>
      <c r="AB41" s="38"/>
      <c r="AC41" s="39"/>
      <c r="AD41" s="40"/>
      <c r="AE41" s="41"/>
      <c r="AF41" s="42"/>
      <c r="AG41" s="42"/>
      <c r="AH41" s="42"/>
      <c r="AI41" s="43"/>
      <c r="AJ41" s="44"/>
      <c r="AK41" s="45"/>
      <c r="AL41" s="45"/>
      <c r="AM41" s="45"/>
      <c r="AN41" s="46"/>
      <c r="AO41" s="47"/>
      <c r="AP41" s="48"/>
      <c r="AQ41" s="48"/>
      <c r="AR41" s="48"/>
      <c r="AS41" s="48"/>
      <c r="AT41" s="49"/>
      <c r="AU41" s="50"/>
      <c r="AV41" s="51"/>
      <c r="AW41" s="51"/>
      <c r="AX41" s="52"/>
      <c r="AY41" s="53"/>
      <c r="AZ41" s="80"/>
      <c r="BA41" s="54"/>
      <c r="BB41" s="55"/>
      <c r="BC41" s="55" t="s">
        <v>87</v>
      </c>
      <c r="BD41" s="55" t="s">
        <v>87</v>
      </c>
      <c r="BE41" s="55" t="s">
        <v>87</v>
      </c>
      <c r="BF41" s="55" t="s">
        <v>87</v>
      </c>
      <c r="BG41" s="56" t="s">
        <v>87</v>
      </c>
      <c r="BH41" s="57"/>
      <c r="BI41" s="58"/>
      <c r="BJ41" s="58"/>
      <c r="BK41" s="58"/>
      <c r="BL41" s="58"/>
      <c r="BM41" s="58"/>
      <c r="BN41" s="58"/>
      <c r="BO41" s="58"/>
    </row>
    <row r="42" spans="1:67" ht="28.5" customHeight="1" x14ac:dyDescent="0.35">
      <c r="A42" s="66" t="s">
        <v>272</v>
      </c>
      <c r="B42" s="66">
        <v>82131585049</v>
      </c>
      <c r="C42" s="66" t="s">
        <v>80</v>
      </c>
      <c r="D42" s="66" t="s">
        <v>273</v>
      </c>
      <c r="E42" s="66" t="s">
        <v>90</v>
      </c>
      <c r="F42" s="66" t="s">
        <v>83</v>
      </c>
      <c r="G42" s="66" t="str">
        <f>"2107"</f>
        <v>2107</v>
      </c>
      <c r="H42" s="66"/>
      <c r="I42" s="66" t="str">
        <f>"0411857149"</f>
        <v>0411857149</v>
      </c>
      <c r="J42" s="68" t="s">
        <v>274</v>
      </c>
      <c r="K42" s="68" t="s">
        <v>275</v>
      </c>
      <c r="L42" s="59"/>
      <c r="M42" s="60"/>
      <c r="N42" s="60"/>
      <c r="O42" s="60"/>
      <c r="P42" s="60"/>
      <c r="Q42" s="61"/>
      <c r="R42" s="32"/>
      <c r="S42" s="33"/>
      <c r="T42" s="33"/>
      <c r="U42" s="33"/>
      <c r="V42" s="34"/>
      <c r="W42" s="35"/>
      <c r="X42" s="36"/>
      <c r="Y42" s="36"/>
      <c r="Z42" s="36"/>
      <c r="AA42" s="37"/>
      <c r="AB42" s="38"/>
      <c r="AC42" s="39"/>
      <c r="AD42" s="40"/>
      <c r="AE42" s="41"/>
      <c r="AF42" s="42"/>
      <c r="AG42" s="42"/>
      <c r="AH42" s="42"/>
      <c r="AI42" s="43"/>
      <c r="AJ42" s="44"/>
      <c r="AK42" s="45"/>
      <c r="AL42" s="45"/>
      <c r="AM42" s="45"/>
      <c r="AN42" s="46"/>
      <c r="AO42" s="47"/>
      <c r="AP42" s="48"/>
      <c r="AQ42" s="48"/>
      <c r="AR42" s="48"/>
      <c r="AS42" s="48"/>
      <c r="AT42" s="49"/>
      <c r="AU42" s="50"/>
      <c r="AV42" s="51"/>
      <c r="AW42" s="51"/>
      <c r="AX42" s="52"/>
      <c r="AY42" s="53"/>
      <c r="AZ42" s="80"/>
      <c r="BA42" s="54"/>
      <c r="BB42" s="55"/>
      <c r="BC42" s="55"/>
      <c r="BD42" s="55"/>
      <c r="BE42" s="55"/>
      <c r="BF42" s="55"/>
      <c r="BG42" s="56"/>
      <c r="BH42" s="57"/>
      <c r="BI42" s="58"/>
      <c r="BJ42" s="58"/>
      <c r="BK42" s="58"/>
      <c r="BL42" s="58"/>
      <c r="BM42" s="58"/>
      <c r="BN42" s="58"/>
      <c r="BO42" s="58" t="s">
        <v>87</v>
      </c>
    </row>
    <row r="43" spans="1:67" ht="28.5" customHeight="1" x14ac:dyDescent="0.35">
      <c r="A43" s="66" t="s">
        <v>276</v>
      </c>
      <c r="B43" s="66">
        <v>12151470192</v>
      </c>
      <c r="C43" s="66" t="s">
        <v>80</v>
      </c>
      <c r="D43" s="66" t="s">
        <v>277</v>
      </c>
      <c r="E43" s="66" t="s">
        <v>132</v>
      </c>
      <c r="F43" s="66" t="s">
        <v>83</v>
      </c>
      <c r="G43" s="66" t="str">
        <f>"2021"</f>
        <v>2021</v>
      </c>
      <c r="H43" s="66" t="str">
        <f>"02 8353 2917"</f>
        <v>02 8353 2917</v>
      </c>
      <c r="I43" s="66" t="str">
        <f>"0438804666"</f>
        <v>0438804666</v>
      </c>
      <c r="J43" s="68" t="s">
        <v>278</v>
      </c>
      <c r="K43" s="68" t="s">
        <v>279</v>
      </c>
      <c r="L43" s="59"/>
      <c r="M43" s="60"/>
      <c r="N43" s="60"/>
      <c r="O43" s="60"/>
      <c r="P43" s="60"/>
      <c r="Q43" s="61"/>
      <c r="R43" s="32" t="s">
        <v>87</v>
      </c>
      <c r="S43" s="33" t="s">
        <v>87</v>
      </c>
      <c r="T43" s="33"/>
      <c r="U43" s="33"/>
      <c r="V43" s="34"/>
      <c r="W43" s="35" t="s">
        <v>87</v>
      </c>
      <c r="X43" s="36" t="s">
        <v>87</v>
      </c>
      <c r="Y43" s="36"/>
      <c r="Z43" s="36" t="s">
        <v>87</v>
      </c>
      <c r="AA43" s="37" t="s">
        <v>87</v>
      </c>
      <c r="AB43" s="38"/>
      <c r="AC43" s="39"/>
      <c r="AD43" s="40"/>
      <c r="AE43" s="41"/>
      <c r="AF43" s="42"/>
      <c r="AG43" s="42"/>
      <c r="AH43" s="42"/>
      <c r="AI43" s="43"/>
      <c r="AJ43" s="44"/>
      <c r="AK43" s="45"/>
      <c r="AL43" s="45"/>
      <c r="AM43" s="45"/>
      <c r="AN43" s="46"/>
      <c r="AO43" s="47"/>
      <c r="AP43" s="48"/>
      <c r="AQ43" s="48"/>
      <c r="AR43" s="48"/>
      <c r="AS43" s="48"/>
      <c r="AT43" s="49"/>
      <c r="AU43" s="50"/>
      <c r="AV43" s="51"/>
      <c r="AW43" s="51"/>
      <c r="AX43" s="52"/>
      <c r="AY43" s="53"/>
      <c r="AZ43" s="80"/>
      <c r="BA43" s="54"/>
      <c r="BB43" s="55"/>
      <c r="BC43" s="55"/>
      <c r="BD43" s="55"/>
      <c r="BE43" s="55"/>
      <c r="BF43" s="55"/>
      <c r="BG43" s="56"/>
      <c r="BH43" s="57"/>
      <c r="BI43" s="58"/>
      <c r="BJ43" s="58"/>
      <c r="BK43" s="58"/>
      <c r="BL43" s="58"/>
      <c r="BM43" s="58"/>
      <c r="BN43" s="58"/>
      <c r="BO43" s="58"/>
    </row>
    <row r="44" spans="1:67" ht="28.5" customHeight="1" x14ac:dyDescent="0.35">
      <c r="A44" s="66" t="s">
        <v>280</v>
      </c>
      <c r="B44" s="66">
        <v>81092925473</v>
      </c>
      <c r="C44" s="66" t="s">
        <v>80</v>
      </c>
      <c r="D44" s="66" t="s">
        <v>281</v>
      </c>
      <c r="E44" s="66" t="s">
        <v>132</v>
      </c>
      <c r="F44" s="66" t="s">
        <v>83</v>
      </c>
      <c r="G44" s="66" t="str">
        <f>"2000"</f>
        <v>2000</v>
      </c>
      <c r="H44" s="66" t="str">
        <f>"02 9954 7900"</f>
        <v>02 9954 7900</v>
      </c>
      <c r="I44" s="66" t="str">
        <f>"0413028766"</f>
        <v>0413028766</v>
      </c>
      <c r="J44" s="68" t="s">
        <v>282</v>
      </c>
      <c r="K44" s="68" t="s">
        <v>283</v>
      </c>
      <c r="L44" s="59" t="s">
        <v>87</v>
      </c>
      <c r="M44" s="60" t="s">
        <v>87</v>
      </c>
      <c r="N44" s="60" t="s">
        <v>87</v>
      </c>
      <c r="O44" s="60" t="s">
        <v>87</v>
      </c>
      <c r="P44" s="60" t="s">
        <v>87</v>
      </c>
      <c r="Q44" s="61" t="s">
        <v>87</v>
      </c>
      <c r="R44" s="32" t="s">
        <v>87</v>
      </c>
      <c r="S44" s="33" t="s">
        <v>87</v>
      </c>
      <c r="T44" s="33" t="s">
        <v>87</v>
      </c>
      <c r="U44" s="33"/>
      <c r="V44" s="34" t="s">
        <v>87</v>
      </c>
      <c r="W44" s="35"/>
      <c r="X44" s="36"/>
      <c r="Y44" s="36"/>
      <c r="Z44" s="36"/>
      <c r="AA44" s="37"/>
      <c r="AB44" s="38"/>
      <c r="AC44" s="39"/>
      <c r="AD44" s="40"/>
      <c r="AE44" s="41"/>
      <c r="AF44" s="42"/>
      <c r="AG44" s="42"/>
      <c r="AH44" s="42"/>
      <c r="AI44" s="43"/>
      <c r="AJ44" s="44"/>
      <c r="AK44" s="45"/>
      <c r="AL44" s="45"/>
      <c r="AM44" s="45"/>
      <c r="AN44" s="46"/>
      <c r="AO44" s="47"/>
      <c r="AP44" s="48"/>
      <c r="AQ44" s="48"/>
      <c r="AR44" s="48"/>
      <c r="AS44" s="48"/>
      <c r="AT44" s="49"/>
      <c r="AU44" s="50" t="s">
        <v>87</v>
      </c>
      <c r="AV44" s="51" t="s">
        <v>87</v>
      </c>
      <c r="AW44" s="51" t="s">
        <v>87</v>
      </c>
      <c r="AX44" s="52"/>
      <c r="AY44" s="53"/>
      <c r="AZ44" s="80"/>
      <c r="BA44" s="54"/>
      <c r="BB44" s="55"/>
      <c r="BC44" s="55"/>
      <c r="BD44" s="55"/>
      <c r="BE44" s="55"/>
      <c r="BF44" s="55"/>
      <c r="BG44" s="56"/>
      <c r="BH44" s="57"/>
      <c r="BI44" s="58"/>
      <c r="BJ44" s="58"/>
      <c r="BK44" s="58"/>
      <c r="BL44" s="58"/>
      <c r="BM44" s="58"/>
      <c r="BN44" s="58"/>
      <c r="BO44" s="58"/>
    </row>
    <row r="45" spans="1:67" ht="28.5" customHeight="1" x14ac:dyDescent="0.35">
      <c r="A45" s="66" t="s">
        <v>284</v>
      </c>
      <c r="B45" s="66">
        <v>81166692913</v>
      </c>
      <c r="C45" s="66" t="s">
        <v>80</v>
      </c>
      <c r="D45" s="66" t="s">
        <v>285</v>
      </c>
      <c r="E45" s="66" t="s">
        <v>132</v>
      </c>
      <c r="F45" s="66" t="s">
        <v>83</v>
      </c>
      <c r="G45" s="66">
        <v>2010</v>
      </c>
      <c r="H45" s="66" t="s">
        <v>286</v>
      </c>
      <c r="I45" s="67" t="s">
        <v>287</v>
      </c>
      <c r="J45" s="68" t="s">
        <v>288</v>
      </c>
      <c r="K45" s="68" t="s">
        <v>289</v>
      </c>
      <c r="L45" s="59"/>
      <c r="M45" s="60"/>
      <c r="N45" s="60"/>
      <c r="O45" s="60"/>
      <c r="P45" s="60"/>
      <c r="Q45" s="61"/>
      <c r="R45" s="32"/>
      <c r="S45" s="33" t="s">
        <v>87</v>
      </c>
      <c r="T45" s="33" t="s">
        <v>87</v>
      </c>
      <c r="U45" s="33" t="s">
        <v>87</v>
      </c>
      <c r="V45" s="34"/>
      <c r="W45" s="35"/>
      <c r="X45" s="36"/>
      <c r="Y45" s="36"/>
      <c r="Z45" s="36"/>
      <c r="AA45" s="37"/>
      <c r="AB45" s="38"/>
      <c r="AC45" s="39"/>
      <c r="AD45" s="40"/>
      <c r="AE45" s="41" t="s">
        <v>87</v>
      </c>
      <c r="AF45" s="42" t="s">
        <v>87</v>
      </c>
      <c r="AG45" s="42" t="s">
        <v>87</v>
      </c>
      <c r="AH45" s="42" t="s">
        <v>87</v>
      </c>
      <c r="AI45" s="43" t="s">
        <v>87</v>
      </c>
      <c r="AJ45" s="44"/>
      <c r="AK45" s="45"/>
      <c r="AL45" s="45"/>
      <c r="AM45" s="45"/>
      <c r="AN45" s="46"/>
      <c r="AO45" s="47"/>
      <c r="AP45" s="48"/>
      <c r="AQ45" s="48"/>
      <c r="AR45" s="48"/>
      <c r="AS45" s="48"/>
      <c r="AT45" s="49"/>
      <c r="AU45" s="50"/>
      <c r="AV45" s="51"/>
      <c r="AW45" s="51"/>
      <c r="AX45" s="52"/>
      <c r="AY45" s="53"/>
      <c r="AZ45" s="80"/>
      <c r="BA45" s="54" t="s">
        <v>87</v>
      </c>
      <c r="BB45" s="55" t="s">
        <v>87</v>
      </c>
      <c r="BC45" s="55" t="s">
        <v>87</v>
      </c>
      <c r="BD45" s="55" t="s">
        <v>87</v>
      </c>
      <c r="BE45" s="55" t="s">
        <v>87</v>
      </c>
      <c r="BF45" s="55" t="s">
        <v>87</v>
      </c>
      <c r="BG45" s="56" t="s">
        <v>87</v>
      </c>
      <c r="BH45" s="57"/>
      <c r="BI45" s="58"/>
      <c r="BJ45" s="58"/>
      <c r="BK45" s="58"/>
      <c r="BL45" s="58"/>
      <c r="BM45" s="58"/>
      <c r="BN45" s="58"/>
      <c r="BO45" s="58"/>
    </row>
    <row r="46" spans="1:67" ht="28.5" customHeight="1" x14ac:dyDescent="0.35">
      <c r="A46" s="69" t="s">
        <v>290</v>
      </c>
      <c r="B46" s="69">
        <v>76614370900</v>
      </c>
      <c r="C46" s="69" t="s">
        <v>80</v>
      </c>
      <c r="D46" s="69" t="s">
        <v>291</v>
      </c>
      <c r="E46" s="69" t="s">
        <v>292</v>
      </c>
      <c r="F46" s="69" t="s">
        <v>83</v>
      </c>
      <c r="G46" s="69">
        <v>2010</v>
      </c>
      <c r="H46" s="71" t="s">
        <v>293</v>
      </c>
      <c r="I46" s="71" t="s">
        <v>294</v>
      </c>
      <c r="J46" s="70" t="s">
        <v>295</v>
      </c>
      <c r="K46" s="70" t="s">
        <v>296</v>
      </c>
      <c r="L46" s="59"/>
      <c r="M46" s="60"/>
      <c r="N46" s="60"/>
      <c r="O46" s="60"/>
      <c r="P46" s="60"/>
      <c r="Q46" s="61"/>
      <c r="R46" s="32"/>
      <c r="S46" s="33"/>
      <c r="T46" s="33"/>
      <c r="U46" s="33"/>
      <c r="V46" s="34"/>
      <c r="W46" s="35" t="s">
        <v>87</v>
      </c>
      <c r="X46" s="36" t="s">
        <v>87</v>
      </c>
      <c r="Y46" s="36"/>
      <c r="Z46" s="36"/>
      <c r="AA46" s="37"/>
      <c r="AB46" s="38"/>
      <c r="AC46" s="39"/>
      <c r="AD46" s="40"/>
      <c r="AE46" s="41"/>
      <c r="AF46" s="42"/>
      <c r="AG46" s="42"/>
      <c r="AH46" s="42"/>
      <c r="AI46" s="43"/>
      <c r="AJ46" s="44"/>
      <c r="AK46" s="45"/>
      <c r="AL46" s="45"/>
      <c r="AM46" s="45"/>
      <c r="AN46" s="46"/>
      <c r="AO46" s="47"/>
      <c r="AP46" s="48"/>
      <c r="AQ46" s="48"/>
      <c r="AR46" s="48"/>
      <c r="AS46" s="48"/>
      <c r="AT46" s="49"/>
      <c r="AU46" s="50" t="s">
        <v>87</v>
      </c>
      <c r="AV46" s="51" t="s">
        <v>87</v>
      </c>
      <c r="AW46" s="51" t="s">
        <v>87</v>
      </c>
      <c r="AX46" s="52"/>
      <c r="AY46" s="53"/>
      <c r="AZ46" s="80"/>
      <c r="BA46" s="54"/>
      <c r="BB46" s="55"/>
      <c r="BC46" s="55"/>
      <c r="BD46" s="55"/>
      <c r="BE46" s="55"/>
      <c r="BF46" s="55"/>
      <c r="BG46" s="56"/>
      <c r="BH46" s="57"/>
      <c r="BI46" s="58"/>
      <c r="BJ46" s="58"/>
      <c r="BK46" s="58"/>
      <c r="BL46" s="58"/>
      <c r="BM46" s="58"/>
      <c r="BN46" s="58"/>
      <c r="BO46" s="58"/>
    </row>
    <row r="47" spans="1:67" ht="28.5" customHeight="1" x14ac:dyDescent="0.35">
      <c r="A47" s="66" t="s">
        <v>297</v>
      </c>
      <c r="B47" s="66">
        <v>64162204588</v>
      </c>
      <c r="C47" s="66" t="s">
        <v>80</v>
      </c>
      <c r="D47" s="66" t="s">
        <v>298</v>
      </c>
      <c r="E47" s="66" t="s">
        <v>299</v>
      </c>
      <c r="F47" s="66" t="s">
        <v>83</v>
      </c>
      <c r="G47" s="66">
        <v>2010</v>
      </c>
      <c r="H47" s="66" t="s">
        <v>300</v>
      </c>
      <c r="I47" s="67" t="s">
        <v>301</v>
      </c>
      <c r="J47" s="68" t="s">
        <v>302</v>
      </c>
      <c r="K47" s="68" t="s">
        <v>303</v>
      </c>
      <c r="L47" s="59"/>
      <c r="M47" s="60"/>
      <c r="N47" s="60"/>
      <c r="O47" s="60"/>
      <c r="P47" s="60"/>
      <c r="Q47" s="61"/>
      <c r="R47" s="32"/>
      <c r="S47" s="33"/>
      <c r="T47" s="33"/>
      <c r="U47" s="33"/>
      <c r="V47" s="34"/>
      <c r="W47" s="35"/>
      <c r="X47" s="36"/>
      <c r="Y47" s="36"/>
      <c r="Z47" s="36"/>
      <c r="AA47" s="37"/>
      <c r="AB47" s="38"/>
      <c r="AC47" s="39"/>
      <c r="AD47" s="40"/>
      <c r="AE47" s="41"/>
      <c r="AF47" s="42"/>
      <c r="AG47" s="42"/>
      <c r="AH47" s="42"/>
      <c r="AI47" s="43"/>
      <c r="AJ47" s="44"/>
      <c r="AK47" s="45"/>
      <c r="AL47" s="45"/>
      <c r="AM47" s="45"/>
      <c r="AN47" s="46"/>
      <c r="AO47" s="47"/>
      <c r="AP47" s="48"/>
      <c r="AQ47" s="48"/>
      <c r="AR47" s="48"/>
      <c r="AS47" s="48"/>
      <c r="AT47" s="49"/>
      <c r="AU47" s="50"/>
      <c r="AV47" s="51"/>
      <c r="AW47" s="51"/>
      <c r="AX47" s="52"/>
      <c r="AY47" s="53"/>
      <c r="AZ47" s="80"/>
      <c r="BA47" s="54"/>
      <c r="BB47" s="55"/>
      <c r="BC47" s="55"/>
      <c r="BD47" s="55"/>
      <c r="BE47" s="55"/>
      <c r="BF47" s="55"/>
      <c r="BG47" s="56"/>
      <c r="BH47" s="57" t="s">
        <v>87</v>
      </c>
      <c r="BI47" s="58" t="s">
        <v>87</v>
      </c>
      <c r="BJ47" s="58" t="s">
        <v>87</v>
      </c>
      <c r="BK47" s="58" t="s">
        <v>87</v>
      </c>
      <c r="BL47" s="58" t="s">
        <v>87</v>
      </c>
      <c r="BM47" s="58" t="s">
        <v>87</v>
      </c>
      <c r="BN47" s="58" t="s">
        <v>87</v>
      </c>
      <c r="BO47" s="58" t="s">
        <v>87</v>
      </c>
    </row>
    <row r="48" spans="1:67" ht="28.5" customHeight="1" x14ac:dyDescent="0.35">
      <c r="A48" s="66" t="s">
        <v>304</v>
      </c>
      <c r="B48" s="66">
        <v>84107737486</v>
      </c>
      <c r="C48" s="66" t="s">
        <v>80</v>
      </c>
      <c r="D48" s="66" t="s">
        <v>305</v>
      </c>
      <c r="E48" s="66" t="s">
        <v>306</v>
      </c>
      <c r="F48" s="66" t="s">
        <v>83</v>
      </c>
      <c r="G48" s="66" t="str">
        <f>"2040"</f>
        <v>2040</v>
      </c>
      <c r="H48" s="66" t="str">
        <f>"02 9267 1771"</f>
        <v>02 9267 1771</v>
      </c>
      <c r="I48" s="66" t="str">
        <f>"0404020155"</f>
        <v>0404020155</v>
      </c>
      <c r="J48" s="68" t="s">
        <v>307</v>
      </c>
      <c r="K48" s="68" t="s">
        <v>308</v>
      </c>
      <c r="L48" s="59"/>
      <c r="M48" s="60"/>
      <c r="N48" s="60"/>
      <c r="O48" s="60"/>
      <c r="P48" s="60"/>
      <c r="Q48" s="61"/>
      <c r="R48" s="32"/>
      <c r="S48" s="33"/>
      <c r="T48" s="33"/>
      <c r="U48" s="33"/>
      <c r="V48" s="34"/>
      <c r="W48" s="35" t="s">
        <v>87</v>
      </c>
      <c r="X48" s="36" t="s">
        <v>87</v>
      </c>
      <c r="Y48" s="36" t="s">
        <v>87</v>
      </c>
      <c r="Z48" s="36"/>
      <c r="AA48" s="37" t="s">
        <v>87</v>
      </c>
      <c r="AB48" s="38"/>
      <c r="AC48" s="39"/>
      <c r="AD48" s="40"/>
      <c r="AE48" s="41"/>
      <c r="AF48" s="42"/>
      <c r="AG48" s="42"/>
      <c r="AH48" s="42"/>
      <c r="AI48" s="43"/>
      <c r="AJ48" s="44"/>
      <c r="AK48" s="45"/>
      <c r="AL48" s="45"/>
      <c r="AM48" s="45"/>
      <c r="AN48" s="46"/>
      <c r="AO48" s="47"/>
      <c r="AP48" s="48"/>
      <c r="AQ48" s="48"/>
      <c r="AR48" s="48"/>
      <c r="AS48" s="48"/>
      <c r="AT48" s="49"/>
      <c r="AU48" s="50"/>
      <c r="AV48" s="51"/>
      <c r="AW48" s="51"/>
      <c r="AX48" s="52"/>
      <c r="AY48" s="53"/>
      <c r="AZ48" s="80"/>
      <c r="BA48" s="54" t="s">
        <v>87</v>
      </c>
      <c r="BB48" s="55" t="s">
        <v>87</v>
      </c>
      <c r="BC48" s="55" t="s">
        <v>87</v>
      </c>
      <c r="BD48" s="55" t="s">
        <v>87</v>
      </c>
      <c r="BE48" s="55" t="s">
        <v>87</v>
      </c>
      <c r="BF48" s="55" t="s">
        <v>87</v>
      </c>
      <c r="BG48" s="56"/>
      <c r="BH48" s="57" t="s">
        <v>87</v>
      </c>
      <c r="BI48" s="58" t="s">
        <v>87</v>
      </c>
      <c r="BJ48" s="58" t="s">
        <v>87</v>
      </c>
      <c r="BK48" s="58" t="s">
        <v>87</v>
      </c>
      <c r="BL48" s="58" t="s">
        <v>87</v>
      </c>
      <c r="BM48" s="58" t="s">
        <v>87</v>
      </c>
      <c r="BN48" s="58" t="s">
        <v>87</v>
      </c>
      <c r="BO48" s="58" t="s">
        <v>87</v>
      </c>
    </row>
    <row r="49" spans="1:67" ht="28.5" customHeight="1" x14ac:dyDescent="0.35">
      <c r="A49" s="66" t="s">
        <v>309</v>
      </c>
      <c r="B49" s="66">
        <v>97610658887</v>
      </c>
      <c r="C49" s="66" t="s">
        <v>80</v>
      </c>
      <c r="D49" s="66" t="s">
        <v>310</v>
      </c>
      <c r="E49" s="66" t="s">
        <v>311</v>
      </c>
      <c r="F49" s="66" t="s">
        <v>107</v>
      </c>
      <c r="G49" s="66">
        <v>2603</v>
      </c>
      <c r="H49" s="67" t="s">
        <v>312</v>
      </c>
      <c r="I49" s="67"/>
      <c r="J49" s="68" t="s">
        <v>313</v>
      </c>
      <c r="K49" s="68" t="s">
        <v>314</v>
      </c>
      <c r="L49" s="59"/>
      <c r="M49" s="60"/>
      <c r="N49" s="60"/>
      <c r="O49" s="60"/>
      <c r="P49" s="60"/>
      <c r="Q49" s="61"/>
      <c r="R49" s="32"/>
      <c r="S49" s="33"/>
      <c r="T49" s="33"/>
      <c r="U49" s="33"/>
      <c r="V49" s="34"/>
      <c r="W49" s="35"/>
      <c r="X49" s="36"/>
      <c r="Y49" s="36"/>
      <c r="Z49" s="36"/>
      <c r="AA49" s="37"/>
      <c r="AB49" s="38"/>
      <c r="AC49" s="39"/>
      <c r="AD49" s="40"/>
      <c r="AE49" s="41"/>
      <c r="AF49" s="42"/>
      <c r="AG49" s="42"/>
      <c r="AH49" s="42"/>
      <c r="AI49" s="43"/>
      <c r="AJ49" s="44"/>
      <c r="AK49" s="45"/>
      <c r="AL49" s="45"/>
      <c r="AM49" s="45"/>
      <c r="AN49" s="46"/>
      <c r="AO49" s="47"/>
      <c r="AP49" s="48"/>
      <c r="AQ49" s="48"/>
      <c r="AR49" s="48"/>
      <c r="AS49" s="48"/>
      <c r="AT49" s="49"/>
      <c r="AU49" s="50"/>
      <c r="AV49" s="51"/>
      <c r="AW49" s="51"/>
      <c r="AX49" s="52"/>
      <c r="AY49" s="53" t="s">
        <v>87</v>
      </c>
      <c r="AZ49" s="80" t="s">
        <v>87</v>
      </c>
      <c r="BA49" s="54"/>
      <c r="BB49" s="55"/>
      <c r="BC49" s="55"/>
      <c r="BD49" s="55"/>
      <c r="BE49" s="55"/>
      <c r="BF49" s="55"/>
      <c r="BG49" s="56"/>
      <c r="BH49" s="57"/>
      <c r="BI49" s="58"/>
      <c r="BJ49" s="58"/>
      <c r="BK49" s="58"/>
      <c r="BL49" s="58"/>
      <c r="BM49" s="58"/>
      <c r="BN49" s="58"/>
      <c r="BO49" s="58"/>
    </row>
    <row r="50" spans="1:67" ht="28.5" customHeight="1" x14ac:dyDescent="0.35">
      <c r="A50" s="66" t="s">
        <v>315</v>
      </c>
      <c r="B50" s="66">
        <v>43611829862</v>
      </c>
      <c r="C50" s="66" t="s">
        <v>80</v>
      </c>
      <c r="D50" s="66" t="s">
        <v>316</v>
      </c>
      <c r="E50" s="66" t="s">
        <v>90</v>
      </c>
      <c r="F50" s="66" t="s">
        <v>83</v>
      </c>
      <c r="G50" s="66" t="str">
        <f>"2229"</f>
        <v>2229</v>
      </c>
      <c r="H50" s="66"/>
      <c r="I50" s="66" t="str">
        <f>"0434895228"</f>
        <v>0434895228</v>
      </c>
      <c r="J50" s="68" t="s">
        <v>317</v>
      </c>
      <c r="K50" s="68" t="s">
        <v>318</v>
      </c>
      <c r="L50" s="59"/>
      <c r="M50" s="60"/>
      <c r="N50" s="60"/>
      <c r="O50" s="60"/>
      <c r="P50" s="60"/>
      <c r="Q50" s="61"/>
      <c r="R50" s="32"/>
      <c r="S50" s="33"/>
      <c r="T50" s="33"/>
      <c r="U50" s="33"/>
      <c r="V50" s="34"/>
      <c r="W50" s="35"/>
      <c r="X50" s="36"/>
      <c r="Y50" s="36"/>
      <c r="Z50" s="36"/>
      <c r="AA50" s="37"/>
      <c r="AB50" s="38"/>
      <c r="AC50" s="39"/>
      <c r="AD50" s="40"/>
      <c r="AE50" s="41"/>
      <c r="AF50" s="42"/>
      <c r="AG50" s="42"/>
      <c r="AH50" s="42"/>
      <c r="AI50" s="43"/>
      <c r="AJ50" s="44"/>
      <c r="AK50" s="45"/>
      <c r="AL50" s="45"/>
      <c r="AM50" s="45"/>
      <c r="AN50" s="46"/>
      <c r="AO50" s="47"/>
      <c r="AP50" s="48"/>
      <c r="AQ50" s="48"/>
      <c r="AR50" s="48"/>
      <c r="AS50" s="48"/>
      <c r="AT50" s="49"/>
      <c r="AU50" s="50"/>
      <c r="AV50" s="51"/>
      <c r="AW50" s="51"/>
      <c r="AX50" s="52"/>
      <c r="AY50" s="53"/>
      <c r="AZ50" s="80"/>
      <c r="BA50" s="54"/>
      <c r="BB50" s="55"/>
      <c r="BC50" s="55"/>
      <c r="BD50" s="55"/>
      <c r="BE50" s="55"/>
      <c r="BF50" s="55"/>
      <c r="BG50" s="56"/>
      <c r="BH50" s="57" t="s">
        <v>87</v>
      </c>
      <c r="BI50" s="58" t="s">
        <v>87</v>
      </c>
      <c r="BJ50" s="58"/>
      <c r="BK50" s="58"/>
      <c r="BL50" s="58" t="s">
        <v>87</v>
      </c>
      <c r="BM50" s="58" t="s">
        <v>87</v>
      </c>
      <c r="BN50" s="58" t="s">
        <v>87</v>
      </c>
      <c r="BO50" s="58" t="s">
        <v>87</v>
      </c>
    </row>
    <row r="51" spans="1:67" ht="28.5" customHeight="1" x14ac:dyDescent="0.35">
      <c r="A51" s="66" t="s">
        <v>319</v>
      </c>
      <c r="B51" s="66">
        <v>65628084604</v>
      </c>
      <c r="C51" s="66" t="s">
        <v>80</v>
      </c>
      <c r="D51" s="66" t="s">
        <v>320</v>
      </c>
      <c r="E51" s="66" t="s">
        <v>90</v>
      </c>
      <c r="F51" s="66" t="s">
        <v>83</v>
      </c>
      <c r="G51" s="66">
        <v>2008</v>
      </c>
      <c r="H51" s="66"/>
      <c r="I51" s="67" t="s">
        <v>321</v>
      </c>
      <c r="J51" s="68" t="s">
        <v>322</v>
      </c>
      <c r="K51" s="68" t="s">
        <v>323</v>
      </c>
      <c r="L51" s="59"/>
      <c r="M51" s="60"/>
      <c r="N51" s="60"/>
      <c r="O51" s="60"/>
      <c r="P51" s="60"/>
      <c r="Q51" s="61"/>
      <c r="R51" s="32"/>
      <c r="S51" s="33"/>
      <c r="T51" s="33"/>
      <c r="U51" s="33"/>
      <c r="V51" s="34"/>
      <c r="W51" s="35"/>
      <c r="X51" s="36"/>
      <c r="Y51" s="36"/>
      <c r="Z51" s="36"/>
      <c r="AA51" s="37"/>
      <c r="AB51" s="38"/>
      <c r="AC51" s="39"/>
      <c r="AD51" s="40"/>
      <c r="AE51" s="41"/>
      <c r="AF51" s="42"/>
      <c r="AG51" s="42"/>
      <c r="AH51" s="42"/>
      <c r="AI51" s="43"/>
      <c r="AJ51" s="44"/>
      <c r="AK51" s="45"/>
      <c r="AL51" s="45"/>
      <c r="AM51" s="45"/>
      <c r="AN51" s="46"/>
      <c r="AO51" s="47"/>
      <c r="AP51" s="48"/>
      <c r="AQ51" s="48"/>
      <c r="AR51" s="48"/>
      <c r="AS51" s="48"/>
      <c r="AT51" s="49"/>
      <c r="AU51" s="50"/>
      <c r="AV51" s="51"/>
      <c r="AW51" s="51"/>
      <c r="AX51" s="52"/>
      <c r="AY51" s="53"/>
      <c r="AZ51" s="80"/>
      <c r="BA51" s="54"/>
      <c r="BB51" s="55"/>
      <c r="BC51" s="55"/>
      <c r="BD51" s="55"/>
      <c r="BE51" s="55"/>
      <c r="BF51" s="55"/>
      <c r="BG51" s="56"/>
      <c r="BH51" s="57" t="s">
        <v>87</v>
      </c>
      <c r="BI51" s="58" t="s">
        <v>87</v>
      </c>
      <c r="BJ51" s="58" t="s">
        <v>87</v>
      </c>
      <c r="BK51" s="58" t="s">
        <v>87</v>
      </c>
      <c r="BL51" s="58" t="s">
        <v>87</v>
      </c>
      <c r="BM51" s="58" t="s">
        <v>87</v>
      </c>
      <c r="BN51" s="58" t="s">
        <v>87</v>
      </c>
      <c r="BO51" s="58" t="s">
        <v>87</v>
      </c>
    </row>
    <row r="52" spans="1:67" ht="28.5" customHeight="1" x14ac:dyDescent="0.35">
      <c r="A52" s="66" t="s">
        <v>324</v>
      </c>
      <c r="B52" s="66">
        <v>92002378743</v>
      </c>
      <c r="C52" s="66" t="s">
        <v>80</v>
      </c>
      <c r="D52" s="66" t="s">
        <v>325</v>
      </c>
      <c r="E52" s="66" t="s">
        <v>132</v>
      </c>
      <c r="F52" s="66" t="s">
        <v>83</v>
      </c>
      <c r="G52" s="66" t="str">
        <f>"2065"</f>
        <v>2065</v>
      </c>
      <c r="H52" s="66" t="str">
        <f>"02 9437 6071"</f>
        <v>02 9437 6071</v>
      </c>
      <c r="I52" s="66" t="str">
        <f>"0414858727"</f>
        <v>0414858727</v>
      </c>
      <c r="J52" s="68" t="s">
        <v>326</v>
      </c>
      <c r="K52" s="68" t="s">
        <v>327</v>
      </c>
      <c r="L52" s="59"/>
      <c r="M52" s="60"/>
      <c r="N52" s="60"/>
      <c r="O52" s="60"/>
      <c r="P52" s="60"/>
      <c r="Q52" s="61"/>
      <c r="R52" s="32"/>
      <c r="S52" s="33"/>
      <c r="T52" s="33"/>
      <c r="U52" s="33"/>
      <c r="V52" s="34"/>
      <c r="W52" s="35"/>
      <c r="X52" s="36"/>
      <c r="Y52" s="36"/>
      <c r="Z52" s="36"/>
      <c r="AA52" s="37"/>
      <c r="AB52" s="38"/>
      <c r="AC52" s="39"/>
      <c r="AD52" s="40"/>
      <c r="AE52" s="41"/>
      <c r="AF52" s="42"/>
      <c r="AG52" s="42"/>
      <c r="AH52" s="42"/>
      <c r="AI52" s="43"/>
      <c r="AJ52" s="44"/>
      <c r="AK52" s="45"/>
      <c r="AL52" s="45"/>
      <c r="AM52" s="45"/>
      <c r="AN52" s="46"/>
      <c r="AO52" s="47"/>
      <c r="AP52" s="48"/>
      <c r="AQ52" s="48"/>
      <c r="AR52" s="48"/>
      <c r="AS52" s="48"/>
      <c r="AT52" s="49"/>
      <c r="AU52" s="50" t="s">
        <v>87</v>
      </c>
      <c r="AV52" s="51" t="s">
        <v>87</v>
      </c>
      <c r="AW52" s="51" t="s">
        <v>87</v>
      </c>
      <c r="AX52" s="52" t="s">
        <v>87</v>
      </c>
      <c r="AY52" s="53"/>
      <c r="AZ52" s="80"/>
      <c r="BA52" s="54" t="s">
        <v>87</v>
      </c>
      <c r="BB52" s="55" t="s">
        <v>87</v>
      </c>
      <c r="BC52" s="55" t="s">
        <v>87</v>
      </c>
      <c r="BD52" s="55" t="s">
        <v>87</v>
      </c>
      <c r="BE52" s="55" t="s">
        <v>87</v>
      </c>
      <c r="BF52" s="55" t="s">
        <v>87</v>
      </c>
      <c r="BG52" s="56" t="s">
        <v>87</v>
      </c>
      <c r="BH52" s="57" t="s">
        <v>87</v>
      </c>
      <c r="BI52" s="58" t="s">
        <v>87</v>
      </c>
      <c r="BJ52" s="58" t="s">
        <v>87</v>
      </c>
      <c r="BK52" s="58" t="s">
        <v>87</v>
      </c>
      <c r="BL52" s="58" t="s">
        <v>87</v>
      </c>
      <c r="BM52" s="58" t="s">
        <v>87</v>
      </c>
      <c r="BN52" s="58" t="s">
        <v>87</v>
      </c>
      <c r="BO52" s="58" t="s">
        <v>87</v>
      </c>
    </row>
    <row r="53" spans="1:67" ht="28.5" customHeight="1" x14ac:dyDescent="0.35">
      <c r="A53" s="66" t="s">
        <v>328</v>
      </c>
      <c r="B53" s="66">
        <v>55006708416</v>
      </c>
      <c r="C53" s="66" t="s">
        <v>80</v>
      </c>
      <c r="D53" s="66" t="s">
        <v>329</v>
      </c>
      <c r="E53" s="66" t="s">
        <v>330</v>
      </c>
      <c r="F53" s="66" t="s">
        <v>83</v>
      </c>
      <c r="G53" s="66" t="str">
        <f>"2043"</f>
        <v>2043</v>
      </c>
      <c r="H53" s="66"/>
      <c r="I53" s="66" t="str">
        <f>"0416101164"</f>
        <v>0416101164</v>
      </c>
      <c r="J53" s="68" t="s">
        <v>331</v>
      </c>
      <c r="K53" s="68" t="s">
        <v>332</v>
      </c>
      <c r="L53" s="59"/>
      <c r="M53" s="60"/>
      <c r="N53" s="60"/>
      <c r="O53" s="60"/>
      <c r="P53" s="60"/>
      <c r="Q53" s="61"/>
      <c r="R53" s="32" t="s">
        <v>87</v>
      </c>
      <c r="S53" s="33" t="s">
        <v>87</v>
      </c>
      <c r="T53" s="33"/>
      <c r="U53" s="33"/>
      <c r="V53" s="34" t="s">
        <v>87</v>
      </c>
      <c r="W53" s="35" t="s">
        <v>87</v>
      </c>
      <c r="X53" s="36"/>
      <c r="Y53" s="36"/>
      <c r="Z53" s="36"/>
      <c r="AA53" s="37"/>
      <c r="AB53" s="38"/>
      <c r="AC53" s="39"/>
      <c r="AD53" s="40"/>
      <c r="AE53" s="41"/>
      <c r="AF53" s="42"/>
      <c r="AG53" s="42"/>
      <c r="AH53" s="42"/>
      <c r="AI53" s="43"/>
      <c r="AJ53" s="44"/>
      <c r="AK53" s="45"/>
      <c r="AL53" s="45"/>
      <c r="AM53" s="45"/>
      <c r="AN53" s="46"/>
      <c r="AO53" s="47"/>
      <c r="AP53" s="48"/>
      <c r="AQ53" s="48"/>
      <c r="AR53" s="48"/>
      <c r="AS53" s="48"/>
      <c r="AT53" s="49"/>
      <c r="AU53" s="50" t="s">
        <v>87</v>
      </c>
      <c r="AV53" s="51" t="s">
        <v>87</v>
      </c>
      <c r="AW53" s="51" t="s">
        <v>87</v>
      </c>
      <c r="AX53" s="52" t="s">
        <v>87</v>
      </c>
      <c r="AY53" s="53"/>
      <c r="AZ53" s="80"/>
      <c r="BA53" s="54"/>
      <c r="BB53" s="55"/>
      <c r="BC53" s="55"/>
      <c r="BD53" s="55"/>
      <c r="BE53" s="55"/>
      <c r="BF53" s="55"/>
      <c r="BG53" s="56"/>
      <c r="BH53" s="57"/>
      <c r="BI53" s="58"/>
      <c r="BJ53" s="58"/>
      <c r="BK53" s="58"/>
      <c r="BL53" s="58"/>
      <c r="BM53" s="58"/>
      <c r="BN53" s="58"/>
      <c r="BO53" s="58"/>
    </row>
    <row r="54" spans="1:67" ht="28.5" customHeight="1" x14ac:dyDescent="0.35">
      <c r="A54" s="66" t="s">
        <v>1428</v>
      </c>
      <c r="B54" s="66">
        <v>12600672713</v>
      </c>
      <c r="C54" s="66" t="s">
        <v>80</v>
      </c>
      <c r="D54" s="66" t="s">
        <v>1429</v>
      </c>
      <c r="E54" s="66" t="s">
        <v>90</v>
      </c>
      <c r="F54" s="66" t="s">
        <v>83</v>
      </c>
      <c r="G54" s="66">
        <v>2154</v>
      </c>
      <c r="H54" s="66"/>
      <c r="I54" s="67" t="s">
        <v>1430</v>
      </c>
      <c r="J54" s="68" t="s">
        <v>1431</v>
      </c>
      <c r="K54" s="68" t="s">
        <v>1432</v>
      </c>
      <c r="L54" s="59" t="s">
        <v>87</v>
      </c>
      <c r="M54" s="60" t="s">
        <v>87</v>
      </c>
      <c r="N54" s="60" t="s">
        <v>87</v>
      </c>
      <c r="O54" s="60" t="s">
        <v>87</v>
      </c>
      <c r="P54" s="60" t="s">
        <v>87</v>
      </c>
      <c r="Q54" s="61" t="s">
        <v>87</v>
      </c>
      <c r="R54" s="32" t="s">
        <v>87</v>
      </c>
      <c r="S54" s="33" t="s">
        <v>87</v>
      </c>
      <c r="T54" s="33" t="s">
        <v>87</v>
      </c>
      <c r="U54" s="33" t="s">
        <v>87</v>
      </c>
      <c r="V54" s="34" t="s">
        <v>87</v>
      </c>
      <c r="W54" s="35" t="s">
        <v>87</v>
      </c>
      <c r="X54" s="36" t="s">
        <v>87</v>
      </c>
      <c r="Y54" s="36" t="s">
        <v>87</v>
      </c>
      <c r="Z54" s="36" t="s">
        <v>87</v>
      </c>
      <c r="AA54" s="37" t="s">
        <v>87</v>
      </c>
      <c r="AB54" s="38"/>
      <c r="AC54" s="39"/>
      <c r="AD54" s="40"/>
      <c r="AE54" s="41"/>
      <c r="AF54" s="42"/>
      <c r="AG54" s="42"/>
      <c r="AH54" s="42"/>
      <c r="AI54" s="43"/>
      <c r="AJ54" s="44"/>
      <c r="AK54" s="45"/>
      <c r="AL54" s="45"/>
      <c r="AM54" s="45"/>
      <c r="AN54" s="46"/>
      <c r="AO54" s="47"/>
      <c r="AP54" s="48"/>
      <c r="AQ54" s="48"/>
      <c r="AR54" s="48"/>
      <c r="AS54" s="48"/>
      <c r="AT54" s="49"/>
      <c r="AU54" s="50"/>
      <c r="AV54" s="51"/>
      <c r="AW54" s="51"/>
      <c r="AX54" s="52"/>
      <c r="AY54" s="53"/>
      <c r="AZ54" s="80"/>
      <c r="BA54" s="54"/>
      <c r="BB54" s="55"/>
      <c r="BC54" s="55"/>
      <c r="BD54" s="55"/>
      <c r="BE54" s="55"/>
      <c r="BF54" s="55"/>
      <c r="BG54" s="56"/>
      <c r="BH54" s="57"/>
      <c r="BI54" s="58"/>
      <c r="BJ54" s="58"/>
      <c r="BK54" s="58"/>
      <c r="BL54" s="58"/>
      <c r="BM54" s="58"/>
      <c r="BN54" s="58"/>
      <c r="BO54" s="58"/>
    </row>
    <row r="55" spans="1:67" ht="28.5" customHeight="1" x14ac:dyDescent="0.35">
      <c r="A55" s="69" t="s">
        <v>333</v>
      </c>
      <c r="B55" s="69">
        <v>36163556321</v>
      </c>
      <c r="C55" s="69" t="s">
        <v>80</v>
      </c>
      <c r="D55" s="69" t="s">
        <v>334</v>
      </c>
      <c r="E55" s="69" t="s">
        <v>335</v>
      </c>
      <c r="F55" s="69" t="s">
        <v>83</v>
      </c>
      <c r="G55" s="69">
        <v>2068</v>
      </c>
      <c r="H55" s="69" t="s">
        <v>336</v>
      </c>
      <c r="I55" s="71" t="s">
        <v>337</v>
      </c>
      <c r="J55" s="70" t="s">
        <v>338</v>
      </c>
      <c r="K55" s="70" t="s">
        <v>339</v>
      </c>
      <c r="L55" s="59" t="s">
        <v>87</v>
      </c>
      <c r="M55" s="60" t="s">
        <v>87</v>
      </c>
      <c r="N55" s="60" t="s">
        <v>87</v>
      </c>
      <c r="O55" s="60"/>
      <c r="P55" s="60" t="s">
        <v>87</v>
      </c>
      <c r="Q55" s="61" t="s">
        <v>87</v>
      </c>
      <c r="R55" s="32"/>
      <c r="S55" s="33"/>
      <c r="T55" s="33"/>
      <c r="U55" s="33"/>
      <c r="V55" s="34"/>
      <c r="W55" s="35"/>
      <c r="X55" s="36"/>
      <c r="Y55" s="36"/>
      <c r="Z55" s="36"/>
      <c r="AA55" s="37"/>
      <c r="AB55" s="38"/>
      <c r="AC55" s="39"/>
      <c r="AD55" s="40"/>
      <c r="AE55" s="41"/>
      <c r="AF55" s="42"/>
      <c r="AG55" s="42"/>
      <c r="AH55" s="42"/>
      <c r="AI55" s="43"/>
      <c r="AJ55" s="44"/>
      <c r="AK55" s="45"/>
      <c r="AL55" s="45"/>
      <c r="AM55" s="45"/>
      <c r="AN55" s="46"/>
      <c r="AO55" s="47"/>
      <c r="AP55" s="48"/>
      <c r="AQ55" s="48"/>
      <c r="AR55" s="48"/>
      <c r="AS55" s="48"/>
      <c r="AT55" s="49"/>
      <c r="AU55" s="50"/>
      <c r="AV55" s="51"/>
      <c r="AW55" s="51"/>
      <c r="AX55" s="52"/>
      <c r="AY55" s="53"/>
      <c r="AZ55" s="80"/>
      <c r="BA55" s="54"/>
      <c r="BB55" s="55"/>
      <c r="BC55" s="55"/>
      <c r="BD55" s="55"/>
      <c r="BE55" s="55"/>
      <c r="BF55" s="55"/>
      <c r="BG55" s="56"/>
      <c r="BH55" s="57"/>
      <c r="BI55" s="58"/>
      <c r="BJ55" s="58"/>
      <c r="BK55" s="58"/>
      <c r="BL55" s="58"/>
      <c r="BM55" s="58"/>
      <c r="BN55" s="58"/>
      <c r="BO55" s="58"/>
    </row>
    <row r="56" spans="1:67" ht="28.5" customHeight="1" x14ac:dyDescent="0.35">
      <c r="A56" s="66" t="s">
        <v>340</v>
      </c>
      <c r="B56" s="66">
        <v>54600226122</v>
      </c>
      <c r="C56" s="66" t="s">
        <v>80</v>
      </c>
      <c r="D56" s="66" t="s">
        <v>341</v>
      </c>
      <c r="E56" s="66" t="s">
        <v>342</v>
      </c>
      <c r="F56" s="66" t="s">
        <v>83</v>
      </c>
      <c r="G56" s="66" t="str">
        <f>"2016"</f>
        <v>2016</v>
      </c>
      <c r="H56" s="66" t="str">
        <f>"02 9953 7870"</f>
        <v>02 9953 7870</v>
      </c>
      <c r="I56" s="66" t="str">
        <f>"0410445369"</f>
        <v>0410445369</v>
      </c>
      <c r="J56" s="68" t="s">
        <v>343</v>
      </c>
      <c r="K56" s="68" t="s">
        <v>344</v>
      </c>
      <c r="L56" s="59"/>
      <c r="M56" s="60"/>
      <c r="N56" s="60"/>
      <c r="O56" s="60"/>
      <c r="P56" s="60"/>
      <c r="Q56" s="61"/>
      <c r="R56" s="32"/>
      <c r="S56" s="33"/>
      <c r="T56" s="33"/>
      <c r="U56" s="33"/>
      <c r="V56" s="34"/>
      <c r="W56" s="35" t="s">
        <v>87</v>
      </c>
      <c r="X56" s="36" t="s">
        <v>87</v>
      </c>
      <c r="Y56" s="36" t="s">
        <v>87</v>
      </c>
      <c r="Z56" s="36"/>
      <c r="AA56" s="37" t="s">
        <v>87</v>
      </c>
      <c r="AB56" s="38"/>
      <c r="AC56" s="39"/>
      <c r="AD56" s="40"/>
      <c r="AE56" s="41"/>
      <c r="AF56" s="42"/>
      <c r="AG56" s="42"/>
      <c r="AH56" s="42"/>
      <c r="AI56" s="43"/>
      <c r="AJ56" s="44"/>
      <c r="AK56" s="45"/>
      <c r="AL56" s="45"/>
      <c r="AM56" s="45"/>
      <c r="AN56" s="46"/>
      <c r="AO56" s="47"/>
      <c r="AP56" s="48"/>
      <c r="AQ56" s="48"/>
      <c r="AR56" s="48"/>
      <c r="AS56" s="48"/>
      <c r="AT56" s="49"/>
      <c r="AU56" s="50" t="s">
        <v>87</v>
      </c>
      <c r="AV56" s="51" t="s">
        <v>87</v>
      </c>
      <c r="AW56" s="51" t="s">
        <v>87</v>
      </c>
      <c r="AX56" s="52" t="s">
        <v>87</v>
      </c>
      <c r="AY56" s="53"/>
      <c r="AZ56" s="80"/>
      <c r="BA56" s="54"/>
      <c r="BB56" s="55"/>
      <c r="BC56" s="55"/>
      <c r="BD56" s="55"/>
      <c r="BE56" s="55"/>
      <c r="BF56" s="55"/>
      <c r="BG56" s="56"/>
      <c r="BH56" s="57" t="s">
        <v>87</v>
      </c>
      <c r="BI56" s="58" t="s">
        <v>87</v>
      </c>
      <c r="BJ56" s="58" t="s">
        <v>87</v>
      </c>
      <c r="BK56" s="58" t="s">
        <v>87</v>
      </c>
      <c r="BL56" s="58" t="s">
        <v>87</v>
      </c>
      <c r="BM56" s="58" t="s">
        <v>87</v>
      </c>
      <c r="BN56" s="58" t="s">
        <v>87</v>
      </c>
      <c r="BO56" s="58" t="s">
        <v>87</v>
      </c>
    </row>
    <row r="57" spans="1:67" ht="28.5" customHeight="1" x14ac:dyDescent="0.35">
      <c r="A57" s="69" t="s">
        <v>345</v>
      </c>
      <c r="B57" s="69">
        <v>11123609049</v>
      </c>
      <c r="C57" s="69" t="s">
        <v>80</v>
      </c>
      <c r="D57" s="69" t="s">
        <v>346</v>
      </c>
      <c r="E57" s="69" t="s">
        <v>132</v>
      </c>
      <c r="F57" s="69" t="s">
        <v>83</v>
      </c>
      <c r="G57" s="69">
        <v>20403</v>
      </c>
      <c r="H57" s="69" t="s">
        <v>347</v>
      </c>
      <c r="I57" s="71" t="s">
        <v>348</v>
      </c>
      <c r="J57" s="70" t="s">
        <v>349</v>
      </c>
      <c r="K57" s="70" t="s">
        <v>350</v>
      </c>
      <c r="L57" s="59"/>
      <c r="M57" s="60"/>
      <c r="N57" s="60"/>
      <c r="O57" s="60"/>
      <c r="P57" s="60"/>
      <c r="Q57" s="61"/>
      <c r="R57" s="32" t="s">
        <v>87</v>
      </c>
      <c r="S57" s="33" t="s">
        <v>87</v>
      </c>
      <c r="T57" s="33" t="s">
        <v>87</v>
      </c>
      <c r="U57" s="33" t="s">
        <v>87</v>
      </c>
      <c r="V57" s="34" t="s">
        <v>87</v>
      </c>
      <c r="W57" s="35" t="s">
        <v>87</v>
      </c>
      <c r="X57" s="36" t="s">
        <v>87</v>
      </c>
      <c r="Y57" s="36"/>
      <c r="Z57" s="36"/>
      <c r="AA57" s="37" t="s">
        <v>87</v>
      </c>
      <c r="AB57" s="38"/>
      <c r="AC57" s="39"/>
      <c r="AD57" s="40"/>
      <c r="AE57" s="41" t="s">
        <v>87</v>
      </c>
      <c r="AF57" s="42" t="s">
        <v>87</v>
      </c>
      <c r="AG57" s="42" t="s">
        <v>87</v>
      </c>
      <c r="AH57" s="42" t="s">
        <v>87</v>
      </c>
      <c r="AI57" s="43" t="s">
        <v>87</v>
      </c>
      <c r="AJ57" s="44"/>
      <c r="AK57" s="45"/>
      <c r="AL57" s="45"/>
      <c r="AM57" s="45"/>
      <c r="AN57" s="46"/>
      <c r="AO57" s="47"/>
      <c r="AP57" s="48"/>
      <c r="AQ57" s="48"/>
      <c r="AR57" s="48"/>
      <c r="AS57" s="48"/>
      <c r="AT57" s="49"/>
      <c r="AU57" s="50"/>
      <c r="AV57" s="51"/>
      <c r="AW57" s="51"/>
      <c r="AX57" s="52"/>
      <c r="AY57" s="53"/>
      <c r="AZ57" s="80"/>
      <c r="BA57" s="54"/>
      <c r="BB57" s="55"/>
      <c r="BC57" s="55"/>
      <c r="BD57" s="55"/>
      <c r="BE57" s="55"/>
      <c r="BF57" s="55"/>
      <c r="BG57" s="56"/>
      <c r="BH57" s="57"/>
      <c r="BI57" s="58"/>
      <c r="BJ57" s="58"/>
      <c r="BK57" s="58"/>
      <c r="BL57" s="58"/>
      <c r="BM57" s="58"/>
      <c r="BN57" s="58"/>
      <c r="BO57" s="58"/>
    </row>
    <row r="58" spans="1:67" ht="28.5" customHeight="1" x14ac:dyDescent="0.35">
      <c r="A58" s="66" t="s">
        <v>351</v>
      </c>
      <c r="B58" s="66">
        <v>67636946024</v>
      </c>
      <c r="C58" s="66" t="s">
        <v>80</v>
      </c>
      <c r="D58" s="66" t="s">
        <v>352</v>
      </c>
      <c r="E58" s="66" t="s">
        <v>353</v>
      </c>
      <c r="F58" s="66" t="s">
        <v>83</v>
      </c>
      <c r="G58" s="66">
        <v>2010</v>
      </c>
      <c r="H58" s="66" t="s">
        <v>354</v>
      </c>
      <c r="I58" s="67" t="s">
        <v>355</v>
      </c>
      <c r="J58" s="68" t="s">
        <v>356</v>
      </c>
      <c r="K58" s="68" t="s">
        <v>357</v>
      </c>
      <c r="L58" s="59"/>
      <c r="M58" s="60"/>
      <c r="N58" s="60"/>
      <c r="O58" s="60"/>
      <c r="P58" s="60"/>
      <c r="Q58" s="61"/>
      <c r="R58" s="32"/>
      <c r="S58" s="33"/>
      <c r="T58" s="33"/>
      <c r="U58" s="33"/>
      <c r="V58" s="34"/>
      <c r="W58" s="35"/>
      <c r="X58" s="36" t="s">
        <v>87</v>
      </c>
      <c r="Y58" s="36"/>
      <c r="Z58" s="36"/>
      <c r="AA58" s="37" t="s">
        <v>87</v>
      </c>
      <c r="AB58" s="38"/>
      <c r="AC58" s="39"/>
      <c r="AD58" s="40"/>
      <c r="AE58" s="41"/>
      <c r="AF58" s="42"/>
      <c r="AG58" s="42"/>
      <c r="AH58" s="42"/>
      <c r="AI58" s="43"/>
      <c r="AJ58" s="44"/>
      <c r="AK58" s="45"/>
      <c r="AL58" s="45"/>
      <c r="AM58" s="45"/>
      <c r="AN58" s="46"/>
      <c r="AO58" s="47"/>
      <c r="AP58" s="48"/>
      <c r="AQ58" s="48"/>
      <c r="AR58" s="48"/>
      <c r="AS58" s="48"/>
      <c r="AT58" s="49"/>
      <c r="AU58" s="50" t="s">
        <v>87</v>
      </c>
      <c r="AV58" s="51" t="s">
        <v>87</v>
      </c>
      <c r="AW58" s="51" t="s">
        <v>87</v>
      </c>
      <c r="AX58" s="52"/>
      <c r="AY58" s="53"/>
      <c r="AZ58" s="80"/>
      <c r="BA58" s="54"/>
      <c r="BB58" s="55"/>
      <c r="BC58" s="55"/>
      <c r="BD58" s="55"/>
      <c r="BE58" s="55"/>
      <c r="BF58" s="55"/>
      <c r="BG58" s="56"/>
      <c r="BH58" s="57" t="s">
        <v>87</v>
      </c>
      <c r="BI58" s="58" t="s">
        <v>87</v>
      </c>
      <c r="BJ58" s="58"/>
      <c r="BK58" s="58"/>
      <c r="BL58" s="58"/>
      <c r="BM58" s="58"/>
      <c r="BN58" s="58" t="s">
        <v>87</v>
      </c>
      <c r="BO58" s="58" t="s">
        <v>87</v>
      </c>
    </row>
    <row r="59" spans="1:67" ht="28.5" customHeight="1" x14ac:dyDescent="0.35">
      <c r="A59" s="66" t="s">
        <v>358</v>
      </c>
      <c r="B59" s="66">
        <v>76488362893</v>
      </c>
      <c r="C59" s="66" t="s">
        <v>80</v>
      </c>
      <c r="D59" s="66" t="s">
        <v>359</v>
      </c>
      <c r="E59" s="66" t="s">
        <v>360</v>
      </c>
      <c r="F59" s="66" t="s">
        <v>83</v>
      </c>
      <c r="G59" s="66" t="str">
        <f>"2175"</f>
        <v>2175</v>
      </c>
      <c r="H59" s="66" t="str">
        <f>"02 8731 3895"</f>
        <v>02 8731 3895</v>
      </c>
      <c r="I59" s="66" t="str">
        <f>"0438122749"</f>
        <v>0438122749</v>
      </c>
      <c r="J59" s="68" t="s">
        <v>361</v>
      </c>
      <c r="K59" s="68" t="s">
        <v>362</v>
      </c>
      <c r="L59" s="59"/>
      <c r="M59" s="60"/>
      <c r="N59" s="60"/>
      <c r="O59" s="60"/>
      <c r="P59" s="60"/>
      <c r="Q59" s="61"/>
      <c r="R59" s="32"/>
      <c r="S59" s="33"/>
      <c r="T59" s="33"/>
      <c r="U59" s="33"/>
      <c r="V59" s="34"/>
      <c r="W59" s="35"/>
      <c r="X59" s="36"/>
      <c r="Y59" s="36"/>
      <c r="Z59" s="36"/>
      <c r="AA59" s="37"/>
      <c r="AB59" s="38"/>
      <c r="AC59" s="39"/>
      <c r="AD59" s="40"/>
      <c r="AE59" s="41"/>
      <c r="AF59" s="42"/>
      <c r="AG59" s="42"/>
      <c r="AH59" s="42"/>
      <c r="AI59" s="43"/>
      <c r="AJ59" s="44"/>
      <c r="AK59" s="45"/>
      <c r="AL59" s="45"/>
      <c r="AM59" s="45"/>
      <c r="AN59" s="46"/>
      <c r="AO59" s="47"/>
      <c r="AP59" s="48"/>
      <c r="AQ59" s="48"/>
      <c r="AR59" s="48"/>
      <c r="AS59" s="48"/>
      <c r="AT59" s="49"/>
      <c r="AU59" s="50"/>
      <c r="AV59" s="51"/>
      <c r="AW59" s="51"/>
      <c r="AX59" s="52"/>
      <c r="AY59" s="53"/>
      <c r="AZ59" s="80"/>
      <c r="BA59" s="54"/>
      <c r="BB59" s="55"/>
      <c r="BC59" s="55"/>
      <c r="BD59" s="55"/>
      <c r="BE59" s="55"/>
      <c r="BF59" s="55"/>
      <c r="BG59" s="56"/>
      <c r="BH59" s="57"/>
      <c r="BI59" s="58" t="s">
        <v>87</v>
      </c>
      <c r="BJ59" s="58" t="s">
        <v>87</v>
      </c>
      <c r="BK59" s="58" t="s">
        <v>87</v>
      </c>
      <c r="BL59" s="58"/>
      <c r="BM59" s="58"/>
      <c r="BN59" s="58" t="s">
        <v>87</v>
      </c>
      <c r="BO59" s="58" t="s">
        <v>87</v>
      </c>
    </row>
    <row r="60" spans="1:67" ht="28.5" customHeight="1" x14ac:dyDescent="0.35">
      <c r="A60" s="66" t="s">
        <v>363</v>
      </c>
      <c r="B60" s="66">
        <v>61000357648</v>
      </c>
      <c r="C60" s="66" t="s">
        <v>80</v>
      </c>
      <c r="D60" s="66" t="s">
        <v>364</v>
      </c>
      <c r="E60" s="66" t="s">
        <v>365</v>
      </c>
      <c r="F60" s="66" t="s">
        <v>83</v>
      </c>
      <c r="G60" s="66" t="str">
        <f>"2000"</f>
        <v>2000</v>
      </c>
      <c r="H60" s="66" t="str">
        <f>"02 9925 5333"</f>
        <v>02 9925 5333</v>
      </c>
      <c r="I60" s="67" t="s">
        <v>366</v>
      </c>
      <c r="J60" s="68" t="s">
        <v>367</v>
      </c>
      <c r="K60" s="68" t="s">
        <v>368</v>
      </c>
      <c r="L60" s="59"/>
      <c r="M60" s="60"/>
      <c r="N60" s="60"/>
      <c r="O60" s="60"/>
      <c r="P60" s="60"/>
      <c r="Q60" s="61"/>
      <c r="R60" s="32"/>
      <c r="S60" s="33"/>
      <c r="T60" s="33"/>
      <c r="U60" s="33"/>
      <c r="V60" s="34"/>
      <c r="W60" s="35" t="s">
        <v>87</v>
      </c>
      <c r="X60" s="36" t="s">
        <v>87</v>
      </c>
      <c r="Y60" s="36"/>
      <c r="Z60" s="36"/>
      <c r="AA60" s="37" t="s">
        <v>87</v>
      </c>
      <c r="AB60" s="38"/>
      <c r="AC60" s="39"/>
      <c r="AD60" s="40"/>
      <c r="AE60" s="41"/>
      <c r="AF60" s="42"/>
      <c r="AG60" s="42"/>
      <c r="AH60" s="42"/>
      <c r="AI60" s="43"/>
      <c r="AJ60" s="44"/>
      <c r="AK60" s="45"/>
      <c r="AL60" s="45"/>
      <c r="AM60" s="45"/>
      <c r="AN60" s="46"/>
      <c r="AO60" s="47"/>
      <c r="AP60" s="48"/>
      <c r="AQ60" s="48"/>
      <c r="AR60" s="48"/>
      <c r="AS60" s="48"/>
      <c r="AT60" s="49"/>
      <c r="AU60" s="50"/>
      <c r="AV60" s="51"/>
      <c r="AW60" s="51"/>
      <c r="AX60" s="52"/>
      <c r="AY60" s="53"/>
      <c r="AZ60" s="80"/>
      <c r="BA60" s="54"/>
      <c r="BB60" s="55"/>
      <c r="BC60" s="55" t="s">
        <v>87</v>
      </c>
      <c r="BD60" s="55" t="s">
        <v>87</v>
      </c>
      <c r="BE60" s="55"/>
      <c r="BF60" s="55"/>
      <c r="BG60" s="56"/>
      <c r="BH60" s="57"/>
      <c r="BI60" s="58" t="s">
        <v>87</v>
      </c>
      <c r="BJ60" s="58" t="s">
        <v>87</v>
      </c>
      <c r="BK60" s="58"/>
      <c r="BL60" s="58"/>
      <c r="BM60" s="58"/>
      <c r="BN60" s="58" t="s">
        <v>87</v>
      </c>
      <c r="BO60" s="58" t="s">
        <v>87</v>
      </c>
    </row>
    <row r="61" spans="1:67" ht="28.5" customHeight="1" x14ac:dyDescent="0.35">
      <c r="A61" s="66" t="s">
        <v>369</v>
      </c>
      <c r="B61" s="66">
        <v>72126985484</v>
      </c>
      <c r="C61" s="66" t="s">
        <v>80</v>
      </c>
      <c r="D61" s="66" t="s">
        <v>370</v>
      </c>
      <c r="E61" s="66" t="s">
        <v>152</v>
      </c>
      <c r="F61" s="66" t="s">
        <v>83</v>
      </c>
      <c r="G61" s="66" t="str">
        <f>"2041"</f>
        <v>2041</v>
      </c>
      <c r="H61" s="66" t="str">
        <f>"02 8096 1830"</f>
        <v>02 8096 1830</v>
      </c>
      <c r="I61" s="66" t="str">
        <f>"0414649129"</f>
        <v>0414649129</v>
      </c>
      <c r="J61" s="68" t="s">
        <v>371</v>
      </c>
      <c r="K61" s="68" t="s">
        <v>372</v>
      </c>
      <c r="L61" s="59"/>
      <c r="M61" s="60"/>
      <c r="N61" s="60"/>
      <c r="O61" s="60"/>
      <c r="P61" s="60"/>
      <c r="Q61" s="61"/>
      <c r="R61" s="32"/>
      <c r="S61" s="33"/>
      <c r="T61" s="33"/>
      <c r="U61" s="33"/>
      <c r="V61" s="34"/>
      <c r="W61" s="35"/>
      <c r="X61" s="36"/>
      <c r="Y61" s="36"/>
      <c r="Z61" s="36"/>
      <c r="AA61" s="37"/>
      <c r="AB61" s="38"/>
      <c r="AC61" s="39"/>
      <c r="AD61" s="40"/>
      <c r="AE61" s="41"/>
      <c r="AF61" s="42"/>
      <c r="AG61" s="42"/>
      <c r="AH61" s="42"/>
      <c r="AI61" s="43"/>
      <c r="AJ61" s="44"/>
      <c r="AK61" s="45"/>
      <c r="AL61" s="45"/>
      <c r="AM61" s="45"/>
      <c r="AN61" s="46"/>
      <c r="AO61" s="47"/>
      <c r="AP61" s="48"/>
      <c r="AQ61" s="48"/>
      <c r="AR61" s="48"/>
      <c r="AS61" s="48"/>
      <c r="AT61" s="49"/>
      <c r="AU61" s="50"/>
      <c r="AV61" s="51"/>
      <c r="AW61" s="51"/>
      <c r="AX61" s="52"/>
      <c r="AY61" s="53"/>
      <c r="AZ61" s="80"/>
      <c r="BA61" s="54"/>
      <c r="BB61" s="55"/>
      <c r="BC61" s="55"/>
      <c r="BD61" s="55"/>
      <c r="BE61" s="55"/>
      <c r="BF61" s="55"/>
      <c r="BG61" s="56"/>
      <c r="BH61" s="57" t="s">
        <v>87</v>
      </c>
      <c r="BI61" s="58" t="s">
        <v>87</v>
      </c>
      <c r="BJ61" s="58" t="s">
        <v>87</v>
      </c>
      <c r="BK61" s="58" t="s">
        <v>87</v>
      </c>
      <c r="BL61" s="58" t="s">
        <v>87</v>
      </c>
      <c r="BM61" s="58" t="s">
        <v>87</v>
      </c>
      <c r="BN61" s="58" t="s">
        <v>87</v>
      </c>
      <c r="BO61" s="58" t="s">
        <v>87</v>
      </c>
    </row>
    <row r="62" spans="1:67" ht="28.5" customHeight="1" x14ac:dyDescent="0.35">
      <c r="A62" s="66" t="s">
        <v>373</v>
      </c>
      <c r="B62" s="66">
        <v>61629391500</v>
      </c>
      <c r="C62" s="66" t="s">
        <v>80</v>
      </c>
      <c r="D62" s="66" t="s">
        <v>374</v>
      </c>
      <c r="E62" s="66" t="s">
        <v>90</v>
      </c>
      <c r="F62" s="66" t="s">
        <v>83</v>
      </c>
      <c r="G62" s="66" t="str">
        <f>"2017"</f>
        <v>2017</v>
      </c>
      <c r="H62" s="66"/>
      <c r="I62" s="66" t="str">
        <f>"0400884385"</f>
        <v>0400884385</v>
      </c>
      <c r="J62" s="68" t="s">
        <v>375</v>
      </c>
      <c r="K62" s="68" t="s">
        <v>376</v>
      </c>
      <c r="L62" s="59"/>
      <c r="M62" s="60"/>
      <c r="N62" s="60"/>
      <c r="O62" s="60"/>
      <c r="P62" s="60"/>
      <c r="Q62" s="61"/>
      <c r="R62" s="32" t="s">
        <v>87</v>
      </c>
      <c r="S62" s="33" t="s">
        <v>87</v>
      </c>
      <c r="T62" s="33" t="s">
        <v>87</v>
      </c>
      <c r="U62" s="33" t="s">
        <v>87</v>
      </c>
      <c r="V62" s="34" t="s">
        <v>87</v>
      </c>
      <c r="W62" s="35" t="s">
        <v>87</v>
      </c>
      <c r="X62" s="36" t="s">
        <v>87</v>
      </c>
      <c r="Y62" s="36" t="s">
        <v>87</v>
      </c>
      <c r="Z62" s="36" t="s">
        <v>87</v>
      </c>
      <c r="AA62" s="37" t="s">
        <v>87</v>
      </c>
      <c r="AB62" s="38"/>
      <c r="AC62" s="39"/>
      <c r="AD62" s="40"/>
      <c r="AE62" s="41"/>
      <c r="AF62" s="42"/>
      <c r="AG62" s="42"/>
      <c r="AH62" s="42"/>
      <c r="AI62" s="43"/>
      <c r="AJ62" s="44"/>
      <c r="AK62" s="45"/>
      <c r="AL62" s="45"/>
      <c r="AM62" s="45"/>
      <c r="AN62" s="46"/>
      <c r="AO62" s="47"/>
      <c r="AP62" s="48"/>
      <c r="AQ62" s="48"/>
      <c r="AR62" s="48"/>
      <c r="AS62" s="48"/>
      <c r="AT62" s="49"/>
      <c r="AU62" s="50"/>
      <c r="AV62" s="51"/>
      <c r="AW62" s="51"/>
      <c r="AX62" s="52"/>
      <c r="AY62" s="53"/>
      <c r="AZ62" s="80"/>
      <c r="BA62" s="54"/>
      <c r="BB62" s="55"/>
      <c r="BC62" s="55"/>
      <c r="BD62" s="55"/>
      <c r="BE62" s="55"/>
      <c r="BF62" s="55"/>
      <c r="BG62" s="56"/>
      <c r="BH62" s="57" t="s">
        <v>87</v>
      </c>
      <c r="BI62" s="58" t="s">
        <v>87</v>
      </c>
      <c r="BJ62" s="58" t="s">
        <v>87</v>
      </c>
      <c r="BK62" s="58" t="s">
        <v>87</v>
      </c>
      <c r="BL62" s="58" t="s">
        <v>87</v>
      </c>
      <c r="BM62" s="58" t="s">
        <v>87</v>
      </c>
      <c r="BN62" s="58" t="s">
        <v>87</v>
      </c>
      <c r="BO62" s="58" t="s">
        <v>87</v>
      </c>
    </row>
    <row r="63" spans="1:67" ht="28.5" customHeight="1" x14ac:dyDescent="0.35">
      <c r="A63" s="66" t="s">
        <v>377</v>
      </c>
      <c r="B63" s="66">
        <v>75628792227</v>
      </c>
      <c r="C63" s="66" t="s">
        <v>80</v>
      </c>
      <c r="D63" s="66" t="s">
        <v>378</v>
      </c>
      <c r="E63" s="66" t="s">
        <v>90</v>
      </c>
      <c r="F63" s="66" t="s">
        <v>379</v>
      </c>
      <c r="G63" s="66" t="str">
        <f>"3015"</f>
        <v>3015</v>
      </c>
      <c r="H63" s="66"/>
      <c r="I63" s="66" t="str">
        <f>"0419320269"</f>
        <v>0419320269</v>
      </c>
      <c r="J63" s="68" t="s">
        <v>380</v>
      </c>
      <c r="K63" s="68" t="s">
        <v>381</v>
      </c>
      <c r="L63" s="59"/>
      <c r="M63" s="60"/>
      <c r="N63" s="60"/>
      <c r="O63" s="60"/>
      <c r="P63" s="60"/>
      <c r="Q63" s="61"/>
      <c r="R63" s="32"/>
      <c r="S63" s="33"/>
      <c r="T63" s="33"/>
      <c r="U63" s="33"/>
      <c r="V63" s="34"/>
      <c r="W63" s="35"/>
      <c r="X63" s="36"/>
      <c r="Y63" s="36"/>
      <c r="Z63" s="36"/>
      <c r="AA63" s="37"/>
      <c r="AB63" s="38"/>
      <c r="AC63" s="39"/>
      <c r="AD63" s="40"/>
      <c r="AE63" s="41"/>
      <c r="AF63" s="42"/>
      <c r="AG63" s="42"/>
      <c r="AH63" s="42"/>
      <c r="AI63" s="43"/>
      <c r="AJ63" s="44"/>
      <c r="AK63" s="45"/>
      <c r="AL63" s="45"/>
      <c r="AM63" s="45"/>
      <c r="AN63" s="46"/>
      <c r="AO63" s="47"/>
      <c r="AP63" s="48"/>
      <c r="AQ63" s="48"/>
      <c r="AR63" s="48"/>
      <c r="AS63" s="48"/>
      <c r="AT63" s="49"/>
      <c r="AU63" s="50"/>
      <c r="AV63" s="51"/>
      <c r="AW63" s="51"/>
      <c r="AX63" s="52"/>
      <c r="AY63" s="53" t="s">
        <v>87</v>
      </c>
      <c r="AZ63" s="80" t="s">
        <v>87</v>
      </c>
      <c r="BA63" s="54"/>
      <c r="BB63" s="55"/>
      <c r="BC63" s="55"/>
      <c r="BD63" s="55" t="s">
        <v>87</v>
      </c>
      <c r="BE63" s="55"/>
      <c r="BF63" s="55"/>
      <c r="BG63" s="56"/>
      <c r="BH63" s="57"/>
      <c r="BI63" s="58"/>
      <c r="BJ63" s="58"/>
      <c r="BK63" s="58"/>
      <c r="BL63" s="58"/>
      <c r="BM63" s="58"/>
      <c r="BN63" s="58"/>
      <c r="BO63" s="58"/>
    </row>
    <row r="64" spans="1:67" ht="28.5" customHeight="1" x14ac:dyDescent="0.35">
      <c r="A64" s="66" t="s">
        <v>382</v>
      </c>
      <c r="B64" s="66">
        <v>97630751651</v>
      </c>
      <c r="C64" s="66" t="s">
        <v>80</v>
      </c>
      <c r="D64" s="66" t="s">
        <v>383</v>
      </c>
      <c r="E64" s="66" t="s">
        <v>132</v>
      </c>
      <c r="F64" s="66" t="s">
        <v>83</v>
      </c>
      <c r="G64" s="66" t="str">
        <f>"2798"</f>
        <v>2798</v>
      </c>
      <c r="H64" s="66" t="str">
        <f>"02 6366 3330"</f>
        <v>02 6366 3330</v>
      </c>
      <c r="I64" s="66" t="str">
        <f>"0448552147"</f>
        <v>0448552147</v>
      </c>
      <c r="J64" s="68" t="s">
        <v>384</v>
      </c>
      <c r="K64" s="68" t="s">
        <v>385</v>
      </c>
      <c r="L64" s="59"/>
      <c r="M64" s="60"/>
      <c r="N64" s="60"/>
      <c r="O64" s="60"/>
      <c r="P64" s="60"/>
      <c r="Q64" s="61"/>
      <c r="R64" s="32"/>
      <c r="S64" s="33"/>
      <c r="T64" s="33"/>
      <c r="U64" s="33"/>
      <c r="V64" s="34"/>
      <c r="W64" s="35"/>
      <c r="X64" s="36"/>
      <c r="Y64" s="36"/>
      <c r="Z64" s="36"/>
      <c r="AA64" s="37"/>
      <c r="AB64" s="38"/>
      <c r="AC64" s="39"/>
      <c r="AD64" s="40"/>
      <c r="AE64" s="41"/>
      <c r="AF64" s="42"/>
      <c r="AG64" s="42"/>
      <c r="AH64" s="42"/>
      <c r="AI64" s="43"/>
      <c r="AJ64" s="44"/>
      <c r="AK64" s="45"/>
      <c r="AL64" s="45"/>
      <c r="AM64" s="45"/>
      <c r="AN64" s="46"/>
      <c r="AO64" s="47"/>
      <c r="AP64" s="48"/>
      <c r="AQ64" s="48"/>
      <c r="AR64" s="48"/>
      <c r="AS64" s="48"/>
      <c r="AT64" s="49"/>
      <c r="AU64" s="50"/>
      <c r="AV64" s="51"/>
      <c r="AW64" s="51"/>
      <c r="AX64" s="52"/>
      <c r="AY64" s="53"/>
      <c r="AZ64" s="80"/>
      <c r="BA64" s="54"/>
      <c r="BB64" s="55"/>
      <c r="BC64" s="55"/>
      <c r="BD64" s="55"/>
      <c r="BE64" s="55"/>
      <c r="BF64" s="55"/>
      <c r="BG64" s="56"/>
      <c r="BH64" s="57"/>
      <c r="BI64" s="58"/>
      <c r="BJ64" s="58"/>
      <c r="BK64" s="58"/>
      <c r="BL64" s="58"/>
      <c r="BM64" s="58"/>
      <c r="BN64" s="58" t="s">
        <v>87</v>
      </c>
      <c r="BO64" s="58" t="s">
        <v>87</v>
      </c>
    </row>
    <row r="65" spans="1:67" ht="28.5" customHeight="1" x14ac:dyDescent="0.35">
      <c r="A65" s="66" t="s">
        <v>386</v>
      </c>
      <c r="B65" s="66">
        <v>45654059027</v>
      </c>
      <c r="C65" s="66" t="s">
        <v>80</v>
      </c>
      <c r="D65" s="66" t="s">
        <v>387</v>
      </c>
      <c r="E65" s="66" t="s">
        <v>90</v>
      </c>
      <c r="F65" s="66" t="s">
        <v>83</v>
      </c>
      <c r="G65" s="66">
        <v>2257</v>
      </c>
      <c r="H65" s="67"/>
      <c r="I65" s="67" t="s">
        <v>388</v>
      </c>
      <c r="J65" s="68" t="s">
        <v>389</v>
      </c>
      <c r="K65" s="68" t="s">
        <v>390</v>
      </c>
      <c r="L65" s="59"/>
      <c r="M65" s="60"/>
      <c r="N65" s="60"/>
      <c r="O65" s="60"/>
      <c r="P65" s="60"/>
      <c r="Q65" s="61"/>
      <c r="R65" s="32"/>
      <c r="S65" s="33"/>
      <c r="T65" s="33"/>
      <c r="U65" s="33"/>
      <c r="V65" s="34"/>
      <c r="W65" s="35"/>
      <c r="X65" s="36"/>
      <c r="Y65" s="36"/>
      <c r="Z65" s="36"/>
      <c r="AA65" s="37"/>
      <c r="AB65" s="38"/>
      <c r="AC65" s="39"/>
      <c r="AD65" s="40"/>
      <c r="AE65" s="41"/>
      <c r="AF65" s="42"/>
      <c r="AG65" s="42"/>
      <c r="AH65" s="42"/>
      <c r="AI65" s="43"/>
      <c r="AJ65" s="44"/>
      <c r="AK65" s="45"/>
      <c r="AL65" s="45"/>
      <c r="AM65" s="45"/>
      <c r="AN65" s="46"/>
      <c r="AO65" s="47"/>
      <c r="AP65" s="48"/>
      <c r="AQ65" s="48"/>
      <c r="AR65" s="48"/>
      <c r="AS65" s="48"/>
      <c r="AT65" s="49"/>
      <c r="AU65" s="50"/>
      <c r="AV65" s="51"/>
      <c r="AW65" s="51"/>
      <c r="AX65" s="52"/>
      <c r="AY65" s="53"/>
      <c r="AZ65" s="80"/>
      <c r="BA65" s="54"/>
      <c r="BB65" s="55"/>
      <c r="BC65" s="55"/>
      <c r="BD65" s="55" t="s">
        <v>87</v>
      </c>
      <c r="BE65" s="55"/>
      <c r="BF65" s="55"/>
      <c r="BG65" s="56"/>
      <c r="BH65" s="57"/>
      <c r="BI65" s="58"/>
      <c r="BJ65" s="58"/>
      <c r="BK65" s="58"/>
      <c r="BL65" s="58"/>
      <c r="BM65" s="58"/>
      <c r="BN65" s="58"/>
      <c r="BO65" s="58"/>
    </row>
    <row r="66" spans="1:67" ht="28.5" customHeight="1" x14ac:dyDescent="0.35">
      <c r="A66" s="66" t="s">
        <v>391</v>
      </c>
      <c r="B66" s="66">
        <v>34619970722</v>
      </c>
      <c r="C66" s="66" t="s">
        <v>80</v>
      </c>
      <c r="D66" s="66" t="s">
        <v>392</v>
      </c>
      <c r="E66" s="66" t="s">
        <v>90</v>
      </c>
      <c r="F66" s="66" t="s">
        <v>115</v>
      </c>
      <c r="G66" s="66" t="str">
        <f>"4280"</f>
        <v>4280</v>
      </c>
      <c r="H66" s="66"/>
      <c r="I66" s="66" t="str">
        <f>"0428957877"</f>
        <v>0428957877</v>
      </c>
      <c r="J66" s="68" t="s">
        <v>393</v>
      </c>
      <c r="K66" s="68" t="s">
        <v>394</v>
      </c>
      <c r="L66" s="59"/>
      <c r="M66" s="60"/>
      <c r="N66" s="60"/>
      <c r="O66" s="60"/>
      <c r="P66" s="60"/>
      <c r="Q66" s="61"/>
      <c r="R66" s="32"/>
      <c r="S66" s="33"/>
      <c r="T66" s="33"/>
      <c r="U66" s="33"/>
      <c r="V66" s="34"/>
      <c r="W66" s="35"/>
      <c r="X66" s="36"/>
      <c r="Y66" s="36"/>
      <c r="Z66" s="36"/>
      <c r="AA66" s="37"/>
      <c r="AB66" s="38"/>
      <c r="AC66" s="39"/>
      <c r="AD66" s="40"/>
      <c r="AE66" s="41"/>
      <c r="AF66" s="42"/>
      <c r="AG66" s="42"/>
      <c r="AH66" s="42"/>
      <c r="AI66" s="43"/>
      <c r="AJ66" s="44"/>
      <c r="AK66" s="45"/>
      <c r="AL66" s="45"/>
      <c r="AM66" s="45"/>
      <c r="AN66" s="46"/>
      <c r="AO66" s="47"/>
      <c r="AP66" s="48"/>
      <c r="AQ66" s="48"/>
      <c r="AR66" s="48"/>
      <c r="AS66" s="48"/>
      <c r="AT66" s="49"/>
      <c r="AU66" s="50" t="s">
        <v>87</v>
      </c>
      <c r="AV66" s="51" t="s">
        <v>87</v>
      </c>
      <c r="AW66" s="51" t="s">
        <v>87</v>
      </c>
      <c r="AX66" s="52"/>
      <c r="AY66" s="53"/>
      <c r="AZ66" s="80"/>
      <c r="BA66" s="54"/>
      <c r="BB66" s="55"/>
      <c r="BC66" s="55"/>
      <c r="BD66" s="55"/>
      <c r="BE66" s="55"/>
      <c r="BF66" s="55"/>
      <c r="BG66" s="56"/>
      <c r="BH66" s="57"/>
      <c r="BI66" s="58"/>
      <c r="BJ66" s="58"/>
      <c r="BK66" s="58"/>
      <c r="BL66" s="58"/>
      <c r="BM66" s="58"/>
      <c r="BN66" s="58"/>
      <c r="BO66" s="58"/>
    </row>
    <row r="67" spans="1:67" ht="28.5" customHeight="1" x14ac:dyDescent="0.35">
      <c r="A67" s="66" t="s">
        <v>395</v>
      </c>
      <c r="B67" s="66">
        <v>30065353951</v>
      </c>
      <c r="C67" s="66" t="s">
        <v>80</v>
      </c>
      <c r="D67" s="66" t="s">
        <v>396</v>
      </c>
      <c r="E67" s="66" t="s">
        <v>132</v>
      </c>
      <c r="F67" s="66" t="s">
        <v>83</v>
      </c>
      <c r="G67" s="66" t="str">
        <f>"2016"</f>
        <v>2016</v>
      </c>
      <c r="H67" s="66" t="str">
        <f>"02 8585 1313"</f>
        <v>02 8585 1313</v>
      </c>
      <c r="I67" s="66" t="str">
        <f>"0411137700"</f>
        <v>0411137700</v>
      </c>
      <c r="J67" s="68" t="s">
        <v>397</v>
      </c>
      <c r="K67" s="68" t="s">
        <v>398</v>
      </c>
      <c r="L67" s="59"/>
      <c r="M67" s="60"/>
      <c r="N67" s="60" t="s">
        <v>87</v>
      </c>
      <c r="O67" s="60" t="s">
        <v>87</v>
      </c>
      <c r="P67" s="60" t="s">
        <v>87</v>
      </c>
      <c r="Q67" s="61" t="s">
        <v>87</v>
      </c>
      <c r="R67" s="32"/>
      <c r="S67" s="33"/>
      <c r="T67" s="33"/>
      <c r="U67" s="33"/>
      <c r="V67" s="34"/>
      <c r="W67" s="35"/>
      <c r="X67" s="36"/>
      <c r="Y67" s="36"/>
      <c r="Z67" s="36"/>
      <c r="AA67" s="37"/>
      <c r="AB67" s="38"/>
      <c r="AC67" s="39"/>
      <c r="AD67" s="40"/>
      <c r="AE67" s="41"/>
      <c r="AF67" s="42"/>
      <c r="AG67" s="42"/>
      <c r="AH67" s="42"/>
      <c r="AI67" s="43"/>
      <c r="AJ67" s="44"/>
      <c r="AK67" s="45"/>
      <c r="AL67" s="45"/>
      <c r="AM67" s="45" t="s">
        <v>87</v>
      </c>
      <c r="AN67" s="46"/>
      <c r="AO67" s="47" t="s">
        <v>87</v>
      </c>
      <c r="AP67" s="48" t="s">
        <v>87</v>
      </c>
      <c r="AQ67" s="48" t="s">
        <v>87</v>
      </c>
      <c r="AR67" s="48" t="s">
        <v>87</v>
      </c>
      <c r="AS67" s="48" t="s">
        <v>87</v>
      </c>
      <c r="AT67" s="49" t="s">
        <v>87</v>
      </c>
      <c r="AU67" s="50"/>
      <c r="AV67" s="51"/>
      <c r="AW67" s="51"/>
      <c r="AX67" s="52"/>
      <c r="AY67" s="53"/>
      <c r="AZ67" s="80"/>
      <c r="BA67" s="54"/>
      <c r="BB67" s="55"/>
      <c r="BC67" s="55"/>
      <c r="BD67" s="55"/>
      <c r="BE67" s="55"/>
      <c r="BF67" s="55"/>
      <c r="BG67" s="56"/>
      <c r="BH67" s="57"/>
      <c r="BI67" s="58"/>
      <c r="BJ67" s="58"/>
      <c r="BK67" s="58"/>
      <c r="BL67" s="58"/>
      <c r="BM67" s="58"/>
      <c r="BN67" s="58"/>
      <c r="BO67" s="58"/>
    </row>
    <row r="68" spans="1:67" ht="28.5" customHeight="1" x14ac:dyDescent="0.35">
      <c r="A68" s="66" t="s">
        <v>399</v>
      </c>
      <c r="B68" s="66">
        <v>69630458721</v>
      </c>
      <c r="C68" s="66" t="s">
        <v>80</v>
      </c>
      <c r="D68" s="66" t="s">
        <v>400</v>
      </c>
      <c r="E68" s="66" t="s">
        <v>401</v>
      </c>
      <c r="F68" s="66" t="s">
        <v>83</v>
      </c>
      <c r="G68" s="66">
        <v>2007</v>
      </c>
      <c r="H68" s="67" t="s">
        <v>402</v>
      </c>
      <c r="I68" s="67"/>
      <c r="J68" s="68" t="s">
        <v>403</v>
      </c>
      <c r="K68" s="68" t="s">
        <v>404</v>
      </c>
      <c r="L68" s="59"/>
      <c r="M68" s="60"/>
      <c r="N68" s="60"/>
      <c r="O68" s="60"/>
      <c r="P68" s="60"/>
      <c r="Q68" s="61"/>
      <c r="R68" s="32"/>
      <c r="S68" s="33"/>
      <c r="T68" s="33" t="s">
        <v>87</v>
      </c>
      <c r="U68" s="33" t="s">
        <v>87</v>
      </c>
      <c r="V68" s="34"/>
      <c r="W68" s="35"/>
      <c r="X68" s="36"/>
      <c r="Y68" s="36"/>
      <c r="Z68" s="36"/>
      <c r="AA68" s="37"/>
      <c r="AB68" s="38"/>
      <c r="AC68" s="39"/>
      <c r="AD68" s="40"/>
      <c r="AE68" s="41"/>
      <c r="AF68" s="42"/>
      <c r="AG68" s="42"/>
      <c r="AH68" s="42"/>
      <c r="AI68" s="43"/>
      <c r="AJ68" s="44"/>
      <c r="AK68" s="45"/>
      <c r="AL68" s="45"/>
      <c r="AM68" s="45"/>
      <c r="AN68" s="46"/>
      <c r="AO68" s="47"/>
      <c r="AP68" s="48"/>
      <c r="AQ68" s="48"/>
      <c r="AR68" s="48"/>
      <c r="AS68" s="48"/>
      <c r="AT68" s="49"/>
      <c r="AU68" s="50"/>
      <c r="AV68" s="51"/>
      <c r="AW68" s="51"/>
      <c r="AX68" s="52"/>
      <c r="AY68" s="53"/>
      <c r="AZ68" s="80"/>
      <c r="BA68" s="54"/>
      <c r="BB68" s="55"/>
      <c r="BC68" s="55"/>
      <c r="BD68" s="55"/>
      <c r="BE68" s="55"/>
      <c r="BF68" s="55"/>
      <c r="BG68" s="56"/>
      <c r="BH68" s="57" t="s">
        <v>87</v>
      </c>
      <c r="BI68" s="58" t="s">
        <v>87</v>
      </c>
      <c r="BJ68" s="58" t="s">
        <v>87</v>
      </c>
      <c r="BK68" s="58" t="s">
        <v>87</v>
      </c>
      <c r="BL68" s="58"/>
      <c r="BM68" s="58"/>
      <c r="BN68" s="58" t="s">
        <v>87</v>
      </c>
      <c r="BO68" s="58" t="s">
        <v>87</v>
      </c>
    </row>
    <row r="69" spans="1:67" ht="28.5" customHeight="1" x14ac:dyDescent="0.35">
      <c r="A69" s="66" t="s">
        <v>405</v>
      </c>
      <c r="B69" s="66">
        <v>26161735833</v>
      </c>
      <c r="C69" s="66" t="s">
        <v>80</v>
      </c>
      <c r="D69" s="66" t="s">
        <v>406</v>
      </c>
      <c r="E69" s="66" t="s">
        <v>90</v>
      </c>
      <c r="F69" s="66" t="s">
        <v>83</v>
      </c>
      <c r="G69" s="66" t="str">
        <f>"2010"</f>
        <v>2010</v>
      </c>
      <c r="H69" s="66" t="str">
        <f>"02 9699 2071"</f>
        <v>02 9699 2071</v>
      </c>
      <c r="I69" s="66" t="str">
        <f>"0414748043"</f>
        <v>0414748043</v>
      </c>
      <c r="J69" s="68" t="s">
        <v>407</v>
      </c>
      <c r="K69" s="68" t="s">
        <v>408</v>
      </c>
      <c r="L69" s="59"/>
      <c r="M69" s="60"/>
      <c r="N69" s="60"/>
      <c r="O69" s="60"/>
      <c r="P69" s="60"/>
      <c r="Q69" s="61"/>
      <c r="R69" s="32"/>
      <c r="S69" s="33"/>
      <c r="T69" s="33" t="s">
        <v>87</v>
      </c>
      <c r="U69" s="33" t="s">
        <v>87</v>
      </c>
      <c r="V69" s="34" t="s">
        <v>87</v>
      </c>
      <c r="W69" s="35"/>
      <c r="X69" s="36"/>
      <c r="Y69" s="36"/>
      <c r="Z69" s="36"/>
      <c r="AA69" s="37"/>
      <c r="AB69" s="38"/>
      <c r="AC69" s="39"/>
      <c r="AD69" s="40"/>
      <c r="AE69" s="41"/>
      <c r="AF69" s="42"/>
      <c r="AG69" s="42"/>
      <c r="AH69" s="42"/>
      <c r="AI69" s="43"/>
      <c r="AJ69" s="44"/>
      <c r="AK69" s="45"/>
      <c r="AL69" s="45"/>
      <c r="AM69" s="45"/>
      <c r="AN69" s="46"/>
      <c r="AO69" s="47"/>
      <c r="AP69" s="48"/>
      <c r="AQ69" s="48"/>
      <c r="AR69" s="48"/>
      <c r="AS69" s="48"/>
      <c r="AT69" s="49"/>
      <c r="AU69" s="50" t="s">
        <v>87</v>
      </c>
      <c r="AV69" s="51" t="s">
        <v>87</v>
      </c>
      <c r="AW69" s="51" t="s">
        <v>87</v>
      </c>
      <c r="AX69" s="52" t="s">
        <v>87</v>
      </c>
      <c r="AY69" s="53"/>
      <c r="AZ69" s="80"/>
      <c r="BA69" s="54"/>
      <c r="BB69" s="55"/>
      <c r="BC69" s="55"/>
      <c r="BD69" s="55"/>
      <c r="BE69" s="55"/>
      <c r="BF69" s="55"/>
      <c r="BG69" s="56"/>
      <c r="BH69" s="57" t="s">
        <v>87</v>
      </c>
      <c r="BI69" s="58" t="s">
        <v>87</v>
      </c>
      <c r="BJ69" s="58"/>
      <c r="BK69" s="58"/>
      <c r="BL69" s="58" t="s">
        <v>87</v>
      </c>
      <c r="BM69" s="58" t="s">
        <v>87</v>
      </c>
      <c r="BN69" s="58" t="s">
        <v>87</v>
      </c>
      <c r="BO69" s="58" t="s">
        <v>87</v>
      </c>
    </row>
    <row r="70" spans="1:67" ht="28.5" customHeight="1" x14ac:dyDescent="0.35">
      <c r="A70" s="69" t="s">
        <v>409</v>
      </c>
      <c r="B70" s="69">
        <v>73149221901</v>
      </c>
      <c r="C70" s="69" t="s">
        <v>80</v>
      </c>
      <c r="D70" s="69" t="s">
        <v>410</v>
      </c>
      <c r="E70" s="69" t="s">
        <v>411</v>
      </c>
      <c r="F70" s="69" t="s">
        <v>83</v>
      </c>
      <c r="G70" s="69">
        <v>2009</v>
      </c>
      <c r="H70" s="71" t="s">
        <v>412</v>
      </c>
      <c r="I70" s="71" t="s">
        <v>413</v>
      </c>
      <c r="J70" s="70" t="s">
        <v>414</v>
      </c>
      <c r="K70" s="70" t="s">
        <v>415</v>
      </c>
      <c r="L70" s="59"/>
      <c r="M70" s="60"/>
      <c r="N70" s="60"/>
      <c r="O70" s="60"/>
      <c r="P70" s="60"/>
      <c r="Q70" s="61"/>
      <c r="R70" s="32"/>
      <c r="S70" s="33"/>
      <c r="T70" s="33"/>
      <c r="U70" s="33"/>
      <c r="V70" s="34"/>
      <c r="W70" s="35"/>
      <c r="X70" s="36"/>
      <c r="Y70" s="36"/>
      <c r="Z70" s="36"/>
      <c r="AA70" s="37"/>
      <c r="AB70" s="38"/>
      <c r="AC70" s="39"/>
      <c r="AD70" s="40"/>
      <c r="AE70" s="41"/>
      <c r="AF70" s="42"/>
      <c r="AG70" s="42"/>
      <c r="AH70" s="42"/>
      <c r="AI70" s="43"/>
      <c r="AJ70" s="44"/>
      <c r="AK70" s="45"/>
      <c r="AL70" s="45"/>
      <c r="AM70" s="45"/>
      <c r="AN70" s="46"/>
      <c r="AO70" s="47"/>
      <c r="AP70" s="48"/>
      <c r="AQ70" s="48"/>
      <c r="AR70" s="48"/>
      <c r="AS70" s="48"/>
      <c r="AT70" s="49"/>
      <c r="AU70" s="50" t="s">
        <v>87</v>
      </c>
      <c r="AV70" s="51" t="s">
        <v>87</v>
      </c>
      <c r="AW70" s="51" t="s">
        <v>87</v>
      </c>
      <c r="AX70" s="52" t="s">
        <v>87</v>
      </c>
      <c r="AY70" s="53"/>
      <c r="AZ70" s="80"/>
      <c r="BA70" s="54"/>
      <c r="BB70" s="55"/>
      <c r="BC70" s="55"/>
      <c r="BD70" s="55"/>
      <c r="BE70" s="55"/>
      <c r="BF70" s="55"/>
      <c r="BG70" s="56"/>
      <c r="BH70" s="57"/>
      <c r="BI70" s="58"/>
      <c r="BJ70" s="58"/>
      <c r="BK70" s="58"/>
      <c r="BL70" s="58"/>
      <c r="BM70" s="58"/>
      <c r="BN70" s="58"/>
      <c r="BO70" s="58"/>
    </row>
    <row r="71" spans="1:67" ht="28.5" customHeight="1" x14ac:dyDescent="0.35">
      <c r="A71" s="66" t="s">
        <v>416</v>
      </c>
      <c r="B71" s="66">
        <v>47000429238</v>
      </c>
      <c r="C71" s="66" t="s">
        <v>80</v>
      </c>
      <c r="D71" s="66" t="s">
        <v>417</v>
      </c>
      <c r="E71" s="66" t="s">
        <v>418</v>
      </c>
      <c r="F71" s="66" t="s">
        <v>83</v>
      </c>
      <c r="G71" s="66" t="str">
        <f>"2007"</f>
        <v>2007</v>
      </c>
      <c r="H71" s="66"/>
      <c r="I71" s="67" t="s">
        <v>419</v>
      </c>
      <c r="J71" s="68" t="s">
        <v>420</v>
      </c>
      <c r="K71" s="68" t="s">
        <v>421</v>
      </c>
      <c r="L71" s="59"/>
      <c r="M71" s="60"/>
      <c r="N71" s="60"/>
      <c r="O71" s="60"/>
      <c r="P71" s="60"/>
      <c r="Q71" s="61"/>
      <c r="R71" s="32" t="s">
        <v>87</v>
      </c>
      <c r="S71" s="33"/>
      <c r="T71" s="33"/>
      <c r="U71" s="33"/>
      <c r="V71" s="34"/>
      <c r="W71" s="35"/>
      <c r="X71" s="36" t="s">
        <v>87</v>
      </c>
      <c r="Y71" s="36"/>
      <c r="Z71" s="36"/>
      <c r="AA71" s="37"/>
      <c r="AB71" s="38"/>
      <c r="AC71" s="39"/>
      <c r="AD71" s="40"/>
      <c r="AE71" s="41"/>
      <c r="AF71" s="42"/>
      <c r="AG71" s="42"/>
      <c r="AH71" s="42"/>
      <c r="AI71" s="43" t="s">
        <v>87</v>
      </c>
      <c r="AJ71" s="44"/>
      <c r="AK71" s="45"/>
      <c r="AL71" s="45"/>
      <c r="AM71" s="45"/>
      <c r="AN71" s="46"/>
      <c r="AO71" s="47"/>
      <c r="AP71" s="48"/>
      <c r="AQ71" s="48"/>
      <c r="AR71" s="48"/>
      <c r="AS71" s="48"/>
      <c r="AT71" s="49"/>
      <c r="AU71" s="50"/>
      <c r="AV71" s="51"/>
      <c r="AW71" s="51"/>
      <c r="AX71" s="52"/>
      <c r="AY71" s="53"/>
      <c r="AZ71" s="80"/>
      <c r="BA71" s="54"/>
      <c r="BB71" s="55"/>
      <c r="BC71" s="55"/>
      <c r="BD71" s="55"/>
      <c r="BE71" s="55"/>
      <c r="BF71" s="55"/>
      <c r="BG71" s="56"/>
      <c r="BH71" s="57"/>
      <c r="BI71" s="58"/>
      <c r="BJ71" s="58"/>
      <c r="BK71" s="58"/>
      <c r="BL71" s="58"/>
      <c r="BM71" s="58"/>
      <c r="BN71" s="58"/>
      <c r="BO71" s="58"/>
    </row>
    <row r="72" spans="1:67" ht="28.5" customHeight="1" x14ac:dyDescent="0.35">
      <c r="A72" s="69" t="s">
        <v>422</v>
      </c>
      <c r="B72" s="69">
        <v>84052908522</v>
      </c>
      <c r="C72" s="69" t="s">
        <v>80</v>
      </c>
      <c r="D72" s="69" t="s">
        <v>101</v>
      </c>
      <c r="E72" s="69" t="s">
        <v>90</v>
      </c>
      <c r="F72" s="69" t="s">
        <v>83</v>
      </c>
      <c r="G72" s="69">
        <v>2044</v>
      </c>
      <c r="H72" s="71" t="s">
        <v>423</v>
      </c>
      <c r="I72" s="71"/>
      <c r="J72" s="70" t="s">
        <v>424</v>
      </c>
      <c r="K72" s="70" t="s">
        <v>425</v>
      </c>
      <c r="L72" s="59"/>
      <c r="M72" s="60"/>
      <c r="N72" s="60"/>
      <c r="O72" s="60"/>
      <c r="P72" s="60"/>
      <c r="Q72" s="61"/>
      <c r="R72" s="32"/>
      <c r="S72" s="33"/>
      <c r="T72" s="33"/>
      <c r="U72" s="33"/>
      <c r="V72" s="34"/>
      <c r="W72" s="35"/>
      <c r="X72" s="36"/>
      <c r="Y72" s="36"/>
      <c r="Z72" s="36"/>
      <c r="AA72" s="37"/>
      <c r="AB72" s="38"/>
      <c r="AC72" s="39"/>
      <c r="AD72" s="40"/>
      <c r="AE72" s="41"/>
      <c r="AF72" s="42"/>
      <c r="AG72" s="42"/>
      <c r="AH72" s="42"/>
      <c r="AI72" s="43"/>
      <c r="AJ72" s="44"/>
      <c r="AK72" s="45"/>
      <c r="AL72" s="45"/>
      <c r="AM72" s="45"/>
      <c r="AN72" s="46"/>
      <c r="AO72" s="47"/>
      <c r="AP72" s="48"/>
      <c r="AQ72" s="48"/>
      <c r="AR72" s="48"/>
      <c r="AS72" s="48"/>
      <c r="AT72" s="49"/>
      <c r="AU72" s="50" t="s">
        <v>87</v>
      </c>
      <c r="AV72" s="51" t="s">
        <v>87</v>
      </c>
      <c r="AW72" s="51" t="s">
        <v>87</v>
      </c>
      <c r="AX72" s="52" t="s">
        <v>87</v>
      </c>
      <c r="AY72" s="53"/>
      <c r="AZ72" s="80"/>
      <c r="BA72" s="54"/>
      <c r="BB72" s="55"/>
      <c r="BC72" s="55"/>
      <c r="BD72" s="55"/>
      <c r="BE72" s="55"/>
      <c r="BF72" s="55"/>
      <c r="BG72" s="56"/>
      <c r="BH72" s="57"/>
      <c r="BI72" s="58"/>
      <c r="BJ72" s="58"/>
      <c r="BK72" s="58"/>
      <c r="BL72" s="58"/>
      <c r="BM72" s="58"/>
      <c r="BN72" s="58"/>
      <c r="BO72" s="58"/>
    </row>
    <row r="73" spans="1:67" ht="28.5" customHeight="1" x14ac:dyDescent="0.35">
      <c r="A73" s="66" t="s">
        <v>426</v>
      </c>
      <c r="B73" s="66">
        <v>38045346490</v>
      </c>
      <c r="C73" s="66" t="s">
        <v>80</v>
      </c>
      <c r="D73" s="66" t="s">
        <v>427</v>
      </c>
      <c r="E73" s="66" t="s">
        <v>90</v>
      </c>
      <c r="F73" s="66" t="s">
        <v>83</v>
      </c>
      <c r="G73" s="66">
        <v>2257</v>
      </c>
      <c r="H73" s="67" t="s">
        <v>428</v>
      </c>
      <c r="I73" s="67"/>
      <c r="J73" s="68" t="s">
        <v>429</v>
      </c>
      <c r="K73" s="68" t="s">
        <v>430</v>
      </c>
      <c r="L73" s="59"/>
      <c r="M73" s="60"/>
      <c r="N73" s="60"/>
      <c r="O73" s="60"/>
      <c r="P73" s="60"/>
      <c r="Q73" s="61"/>
      <c r="R73" s="32"/>
      <c r="S73" s="33"/>
      <c r="T73" s="33"/>
      <c r="U73" s="33"/>
      <c r="V73" s="34"/>
      <c r="W73" s="35"/>
      <c r="X73" s="36"/>
      <c r="Y73" s="36"/>
      <c r="Z73" s="36"/>
      <c r="AA73" s="37"/>
      <c r="AB73" s="38"/>
      <c r="AC73" s="39"/>
      <c r="AD73" s="40"/>
      <c r="AE73" s="41"/>
      <c r="AF73" s="42"/>
      <c r="AG73" s="42"/>
      <c r="AH73" s="42"/>
      <c r="AI73" s="43"/>
      <c r="AJ73" s="44"/>
      <c r="AK73" s="45"/>
      <c r="AL73" s="45"/>
      <c r="AM73" s="45"/>
      <c r="AN73" s="46"/>
      <c r="AO73" s="47"/>
      <c r="AP73" s="48"/>
      <c r="AQ73" s="48"/>
      <c r="AR73" s="48"/>
      <c r="AS73" s="48"/>
      <c r="AT73" s="49"/>
      <c r="AU73" s="50" t="s">
        <v>87</v>
      </c>
      <c r="AV73" s="51" t="s">
        <v>87</v>
      </c>
      <c r="AW73" s="51" t="s">
        <v>87</v>
      </c>
      <c r="AX73" s="52" t="s">
        <v>87</v>
      </c>
      <c r="AY73" s="53"/>
      <c r="AZ73" s="80"/>
      <c r="BA73" s="54"/>
      <c r="BB73" s="55"/>
      <c r="BC73" s="55"/>
      <c r="BD73" s="55"/>
      <c r="BE73" s="55"/>
      <c r="BF73" s="55"/>
      <c r="BG73" s="56"/>
      <c r="BH73" s="57"/>
      <c r="BI73" s="58"/>
      <c r="BJ73" s="58"/>
      <c r="BK73" s="58"/>
      <c r="BL73" s="58"/>
      <c r="BM73" s="58"/>
      <c r="BN73" s="58"/>
      <c r="BO73" s="58"/>
    </row>
    <row r="74" spans="1:67" ht="28.5" customHeight="1" x14ac:dyDescent="0.35">
      <c r="A74" s="66" t="s">
        <v>431</v>
      </c>
      <c r="B74" s="66">
        <v>82122082491</v>
      </c>
      <c r="C74" s="66" t="s">
        <v>80</v>
      </c>
      <c r="D74" s="66" t="s">
        <v>432</v>
      </c>
      <c r="E74" s="66" t="s">
        <v>433</v>
      </c>
      <c r="F74" s="66" t="s">
        <v>83</v>
      </c>
      <c r="G74" s="66" t="str">
        <f>"2010"</f>
        <v>2010</v>
      </c>
      <c r="H74" s="66" t="s">
        <v>434</v>
      </c>
      <c r="I74" s="66" t="str">
        <f>"0416019746"</f>
        <v>0416019746</v>
      </c>
      <c r="J74" s="68" t="s">
        <v>435</v>
      </c>
      <c r="K74" s="68" t="s">
        <v>436</v>
      </c>
      <c r="L74" s="59"/>
      <c r="M74" s="60"/>
      <c r="N74" s="60"/>
      <c r="O74" s="60"/>
      <c r="P74" s="60"/>
      <c r="Q74" s="61"/>
      <c r="R74" s="32"/>
      <c r="S74" s="33"/>
      <c r="T74" s="33"/>
      <c r="U74" s="33"/>
      <c r="V74" s="34"/>
      <c r="W74" s="35"/>
      <c r="X74" s="36"/>
      <c r="Y74" s="36"/>
      <c r="Z74" s="36"/>
      <c r="AA74" s="37"/>
      <c r="AB74" s="38"/>
      <c r="AC74" s="39"/>
      <c r="AD74" s="40"/>
      <c r="AE74" s="41"/>
      <c r="AF74" s="42"/>
      <c r="AG74" s="42"/>
      <c r="AH74" s="42"/>
      <c r="AI74" s="43"/>
      <c r="AJ74" s="44"/>
      <c r="AK74" s="45"/>
      <c r="AL74" s="45"/>
      <c r="AM74" s="45"/>
      <c r="AN74" s="46"/>
      <c r="AO74" s="47"/>
      <c r="AP74" s="48"/>
      <c r="AQ74" s="48"/>
      <c r="AR74" s="48"/>
      <c r="AS74" s="48"/>
      <c r="AT74" s="49"/>
      <c r="AU74" s="50"/>
      <c r="AV74" s="51" t="s">
        <v>87</v>
      </c>
      <c r="AW74" s="51" t="s">
        <v>87</v>
      </c>
      <c r="AX74" s="52" t="s">
        <v>87</v>
      </c>
      <c r="AY74" s="53"/>
      <c r="AZ74" s="80"/>
      <c r="BA74" s="54"/>
      <c r="BB74" s="55"/>
      <c r="BC74" s="55"/>
      <c r="BD74" s="55"/>
      <c r="BE74" s="55"/>
      <c r="BF74" s="55"/>
      <c r="BG74" s="56"/>
      <c r="BH74" s="57"/>
      <c r="BI74" s="58"/>
      <c r="BJ74" s="58"/>
      <c r="BK74" s="58"/>
      <c r="BL74" s="58"/>
      <c r="BM74" s="58"/>
      <c r="BN74" s="58"/>
      <c r="BO74" s="58"/>
    </row>
    <row r="75" spans="1:67" ht="28.5" customHeight="1" x14ac:dyDescent="0.35">
      <c r="A75" s="69" t="s">
        <v>437</v>
      </c>
      <c r="B75" s="69">
        <v>56083224202</v>
      </c>
      <c r="C75" s="69" t="s">
        <v>80</v>
      </c>
      <c r="D75" s="69" t="s">
        <v>438</v>
      </c>
      <c r="E75" s="69" t="s">
        <v>132</v>
      </c>
      <c r="F75" s="69" t="s">
        <v>83</v>
      </c>
      <c r="G75" s="69">
        <v>2060</v>
      </c>
      <c r="H75" s="69" t="s">
        <v>439</v>
      </c>
      <c r="I75" s="71" t="s">
        <v>440</v>
      </c>
      <c r="J75" s="70" t="s">
        <v>441</v>
      </c>
      <c r="K75" s="70" t="s">
        <v>442</v>
      </c>
      <c r="L75" s="59"/>
      <c r="M75" s="60"/>
      <c r="N75" s="60"/>
      <c r="O75" s="60"/>
      <c r="P75" s="60"/>
      <c r="Q75" s="61"/>
      <c r="R75" s="32"/>
      <c r="S75" s="33"/>
      <c r="T75" s="33"/>
      <c r="U75" s="33"/>
      <c r="V75" s="34"/>
      <c r="W75" s="35" t="s">
        <v>87</v>
      </c>
      <c r="X75" s="36" t="s">
        <v>87</v>
      </c>
      <c r="Y75" s="36" t="s">
        <v>87</v>
      </c>
      <c r="Z75" s="36"/>
      <c r="AA75" s="37" t="s">
        <v>87</v>
      </c>
      <c r="AB75" s="38"/>
      <c r="AC75" s="39"/>
      <c r="AD75" s="40"/>
      <c r="AE75" s="41"/>
      <c r="AF75" s="42"/>
      <c r="AG75" s="42"/>
      <c r="AH75" s="42"/>
      <c r="AI75" s="43"/>
      <c r="AJ75" s="44"/>
      <c r="AK75" s="45"/>
      <c r="AL75" s="45"/>
      <c r="AM75" s="45"/>
      <c r="AN75" s="46"/>
      <c r="AO75" s="47"/>
      <c r="AP75" s="48"/>
      <c r="AQ75" s="48"/>
      <c r="AR75" s="48"/>
      <c r="AS75" s="48"/>
      <c r="AT75" s="49"/>
      <c r="AU75" s="50" t="s">
        <v>87</v>
      </c>
      <c r="AV75" s="51" t="s">
        <v>87</v>
      </c>
      <c r="AW75" s="51" t="s">
        <v>87</v>
      </c>
      <c r="AX75" s="52" t="s">
        <v>87</v>
      </c>
      <c r="AY75" s="53"/>
      <c r="AZ75" s="80"/>
      <c r="BA75" s="54"/>
      <c r="BB75" s="55"/>
      <c r="BC75" s="55"/>
      <c r="BD75" s="55"/>
      <c r="BE75" s="55"/>
      <c r="BF75" s="55"/>
      <c r="BG75" s="56"/>
      <c r="BH75" s="57" t="s">
        <v>87</v>
      </c>
      <c r="BI75" s="58" t="s">
        <v>87</v>
      </c>
      <c r="BJ75" s="58" t="s">
        <v>87</v>
      </c>
      <c r="BK75" s="58" t="s">
        <v>87</v>
      </c>
      <c r="BL75" s="58" t="s">
        <v>87</v>
      </c>
      <c r="BM75" s="58" t="s">
        <v>87</v>
      </c>
      <c r="BN75" s="58" t="s">
        <v>87</v>
      </c>
      <c r="BO75" s="58" t="s">
        <v>87</v>
      </c>
    </row>
    <row r="76" spans="1:67" ht="28.5" customHeight="1" x14ac:dyDescent="0.35">
      <c r="A76" s="66" t="s">
        <v>443</v>
      </c>
      <c r="B76" s="66">
        <v>99118105025</v>
      </c>
      <c r="C76" s="66" t="s">
        <v>80</v>
      </c>
      <c r="D76" s="66" t="s">
        <v>444</v>
      </c>
      <c r="E76" s="66" t="s">
        <v>132</v>
      </c>
      <c r="F76" s="66" t="s">
        <v>83</v>
      </c>
      <c r="G76" s="66">
        <v>2008</v>
      </c>
      <c r="H76" s="66"/>
      <c r="I76" s="66" t="str">
        <f>"0410311842"</f>
        <v>0410311842</v>
      </c>
      <c r="J76" s="68" t="s">
        <v>445</v>
      </c>
      <c r="K76" s="68" t="s">
        <v>446</v>
      </c>
      <c r="L76" s="59"/>
      <c r="M76" s="60"/>
      <c r="N76" s="60"/>
      <c r="O76" s="60"/>
      <c r="P76" s="60"/>
      <c r="Q76" s="61"/>
      <c r="R76" s="32" t="s">
        <v>87</v>
      </c>
      <c r="S76" s="33" t="s">
        <v>87</v>
      </c>
      <c r="T76" s="33"/>
      <c r="U76" s="33" t="s">
        <v>87</v>
      </c>
      <c r="V76" s="34" t="s">
        <v>87</v>
      </c>
      <c r="W76" s="35" t="s">
        <v>87</v>
      </c>
      <c r="X76" s="36" t="s">
        <v>87</v>
      </c>
      <c r="Y76" s="36"/>
      <c r="Z76" s="36"/>
      <c r="AA76" s="37" t="s">
        <v>87</v>
      </c>
      <c r="AB76" s="38"/>
      <c r="AC76" s="39"/>
      <c r="AD76" s="40"/>
      <c r="AE76" s="41" t="s">
        <v>87</v>
      </c>
      <c r="AF76" s="42" t="s">
        <v>87</v>
      </c>
      <c r="AG76" s="42" t="s">
        <v>87</v>
      </c>
      <c r="AH76" s="42" t="s">
        <v>87</v>
      </c>
      <c r="AI76" s="43" t="s">
        <v>87</v>
      </c>
      <c r="AJ76" s="44"/>
      <c r="AK76" s="45"/>
      <c r="AL76" s="45"/>
      <c r="AM76" s="45"/>
      <c r="AN76" s="46"/>
      <c r="AO76" s="47"/>
      <c r="AP76" s="48"/>
      <c r="AQ76" s="48"/>
      <c r="AR76" s="48"/>
      <c r="AS76" s="48"/>
      <c r="AT76" s="49"/>
      <c r="AU76" s="50"/>
      <c r="AV76" s="51"/>
      <c r="AW76" s="51"/>
      <c r="AX76" s="52"/>
      <c r="AY76" s="53"/>
      <c r="AZ76" s="80"/>
      <c r="BA76" s="54"/>
      <c r="BB76" s="55"/>
      <c r="BC76" s="55"/>
      <c r="BD76" s="55"/>
      <c r="BE76" s="55"/>
      <c r="BF76" s="55"/>
      <c r="BG76" s="56"/>
      <c r="BH76" s="57"/>
      <c r="BI76" s="58"/>
      <c r="BJ76" s="58"/>
      <c r="BK76" s="58"/>
      <c r="BL76" s="58"/>
      <c r="BM76" s="58"/>
      <c r="BN76" s="58"/>
      <c r="BO76" s="58"/>
    </row>
    <row r="77" spans="1:67" ht="28.5" customHeight="1" x14ac:dyDescent="0.35">
      <c r="A77" s="69" t="s">
        <v>447</v>
      </c>
      <c r="B77" s="69">
        <v>59165154165</v>
      </c>
      <c r="C77" s="69" t="s">
        <v>80</v>
      </c>
      <c r="D77" s="69" t="s">
        <v>448</v>
      </c>
      <c r="E77" s="69" t="s">
        <v>449</v>
      </c>
      <c r="F77" s="69" t="s">
        <v>83</v>
      </c>
      <c r="G77" s="69">
        <v>2010</v>
      </c>
      <c r="H77" s="69"/>
      <c r="I77" s="71" t="s">
        <v>450</v>
      </c>
      <c r="J77" s="70" t="s">
        <v>451</v>
      </c>
      <c r="K77" s="70" t="s">
        <v>452</v>
      </c>
      <c r="L77" s="59"/>
      <c r="M77" s="60"/>
      <c r="N77" s="60"/>
      <c r="O77" s="60"/>
      <c r="P77" s="60"/>
      <c r="Q77" s="61"/>
      <c r="R77" s="32"/>
      <c r="S77" s="33"/>
      <c r="T77" s="33"/>
      <c r="U77" s="33"/>
      <c r="V77" s="34"/>
      <c r="W77" s="35"/>
      <c r="X77" s="36"/>
      <c r="Y77" s="36"/>
      <c r="Z77" s="36"/>
      <c r="AA77" s="37"/>
      <c r="AB77" s="38"/>
      <c r="AC77" s="39"/>
      <c r="AD77" s="40"/>
      <c r="AE77" s="41"/>
      <c r="AF77" s="42"/>
      <c r="AG77" s="42"/>
      <c r="AH77" s="42"/>
      <c r="AI77" s="43"/>
      <c r="AJ77" s="44"/>
      <c r="AK77" s="45"/>
      <c r="AL77" s="45"/>
      <c r="AM77" s="45"/>
      <c r="AN77" s="46"/>
      <c r="AO77" s="47"/>
      <c r="AP77" s="48"/>
      <c r="AQ77" s="48"/>
      <c r="AR77" s="48"/>
      <c r="AS77" s="48"/>
      <c r="AT77" s="49"/>
      <c r="AU77" s="50"/>
      <c r="AV77" s="51"/>
      <c r="AW77" s="51"/>
      <c r="AX77" s="52"/>
      <c r="AY77" s="53"/>
      <c r="AZ77" s="80"/>
      <c r="BA77" s="54"/>
      <c r="BB77" s="55"/>
      <c r="BC77" s="55"/>
      <c r="BD77" s="55"/>
      <c r="BE77" s="55"/>
      <c r="BF77" s="55"/>
      <c r="BG77" s="56"/>
      <c r="BH77" s="57" t="s">
        <v>87</v>
      </c>
      <c r="BI77" s="58" t="s">
        <v>87</v>
      </c>
      <c r="BJ77" s="58" t="s">
        <v>87</v>
      </c>
      <c r="BK77" s="58" t="s">
        <v>87</v>
      </c>
      <c r="BL77" s="58"/>
      <c r="BM77" s="58"/>
      <c r="BN77" s="58" t="s">
        <v>87</v>
      </c>
      <c r="BO77" s="58" t="s">
        <v>87</v>
      </c>
    </row>
    <row r="78" spans="1:67" ht="28.5" customHeight="1" x14ac:dyDescent="0.35">
      <c r="A78" s="66" t="s">
        <v>453</v>
      </c>
      <c r="B78" s="66">
        <v>77125160474</v>
      </c>
      <c r="C78" s="66" t="s">
        <v>80</v>
      </c>
      <c r="D78" s="66" t="s">
        <v>454</v>
      </c>
      <c r="E78" s="66" t="s">
        <v>455</v>
      </c>
      <c r="F78" s="66" t="s">
        <v>83</v>
      </c>
      <c r="G78" s="66">
        <v>2010</v>
      </c>
      <c r="H78" s="66" t="str">
        <f>"02 9052 9096"</f>
        <v>02 9052 9096</v>
      </c>
      <c r="I78" s="66" t="str">
        <f>"0413 863 944"</f>
        <v>0413 863 944</v>
      </c>
      <c r="J78" s="68" t="s">
        <v>456</v>
      </c>
      <c r="K78" s="68" t="s">
        <v>457</v>
      </c>
      <c r="L78" s="59"/>
      <c r="M78" s="60"/>
      <c r="N78" s="60"/>
      <c r="O78" s="60"/>
      <c r="P78" s="60"/>
      <c r="Q78" s="61"/>
      <c r="R78" s="32"/>
      <c r="S78" s="33"/>
      <c r="T78" s="33"/>
      <c r="U78" s="33"/>
      <c r="V78" s="34"/>
      <c r="W78" s="35"/>
      <c r="X78" s="36"/>
      <c r="Y78" s="36"/>
      <c r="Z78" s="36"/>
      <c r="AA78" s="37"/>
      <c r="AB78" s="38"/>
      <c r="AC78" s="39"/>
      <c r="AD78" s="40"/>
      <c r="AE78" s="41"/>
      <c r="AF78" s="42"/>
      <c r="AG78" s="42"/>
      <c r="AH78" s="42"/>
      <c r="AI78" s="43"/>
      <c r="AJ78" s="44"/>
      <c r="AK78" s="45"/>
      <c r="AL78" s="45"/>
      <c r="AM78" s="45"/>
      <c r="AN78" s="46"/>
      <c r="AO78" s="47"/>
      <c r="AP78" s="48"/>
      <c r="AQ78" s="48"/>
      <c r="AR78" s="48"/>
      <c r="AS78" s="48"/>
      <c r="AT78" s="49"/>
      <c r="AU78" s="50"/>
      <c r="AV78" s="51"/>
      <c r="AW78" s="51"/>
      <c r="AX78" s="52"/>
      <c r="AY78" s="53"/>
      <c r="AZ78" s="80"/>
      <c r="BA78" s="54"/>
      <c r="BB78" s="55"/>
      <c r="BC78" s="55"/>
      <c r="BD78" s="55"/>
      <c r="BE78" s="55"/>
      <c r="BF78" s="55"/>
      <c r="BG78" s="56"/>
      <c r="BH78" s="57"/>
      <c r="BI78" s="58" t="s">
        <v>87</v>
      </c>
      <c r="BJ78" s="58" t="s">
        <v>87</v>
      </c>
      <c r="BK78" s="58" t="s">
        <v>87</v>
      </c>
      <c r="BL78" s="58"/>
      <c r="BM78" s="58"/>
      <c r="BN78" s="58" t="s">
        <v>87</v>
      </c>
      <c r="BO78" s="58" t="s">
        <v>87</v>
      </c>
    </row>
    <row r="79" spans="1:67" ht="28.5" customHeight="1" x14ac:dyDescent="0.35">
      <c r="A79" s="66" t="s">
        <v>458</v>
      </c>
      <c r="B79" s="66" t="s">
        <v>459</v>
      </c>
      <c r="C79" s="66" t="s">
        <v>80</v>
      </c>
      <c r="D79" s="66" t="s">
        <v>460</v>
      </c>
      <c r="E79" s="66" t="s">
        <v>132</v>
      </c>
      <c r="F79" s="66" t="s">
        <v>83</v>
      </c>
      <c r="G79" s="66">
        <v>2066</v>
      </c>
      <c r="H79" s="67" t="s">
        <v>461</v>
      </c>
      <c r="I79" s="67"/>
      <c r="J79" s="68" t="s">
        <v>462</v>
      </c>
      <c r="K79" s="68" t="s">
        <v>463</v>
      </c>
      <c r="L79" s="59" t="s">
        <v>87</v>
      </c>
      <c r="M79" s="60" t="s">
        <v>87</v>
      </c>
      <c r="N79" s="60" t="s">
        <v>87</v>
      </c>
      <c r="O79" s="60" t="s">
        <v>87</v>
      </c>
      <c r="P79" s="60" t="s">
        <v>87</v>
      </c>
      <c r="Q79" s="61" t="s">
        <v>87</v>
      </c>
      <c r="R79" s="32"/>
      <c r="S79" s="33"/>
      <c r="T79" s="33"/>
      <c r="U79" s="33"/>
      <c r="V79" s="34"/>
      <c r="W79" s="35"/>
      <c r="X79" s="36"/>
      <c r="Y79" s="36"/>
      <c r="Z79" s="36"/>
      <c r="AA79" s="37"/>
      <c r="AB79" s="38"/>
      <c r="AC79" s="39"/>
      <c r="AD79" s="40"/>
      <c r="AE79" s="41"/>
      <c r="AF79" s="42"/>
      <c r="AG79" s="42"/>
      <c r="AH79" s="42"/>
      <c r="AI79" s="43"/>
      <c r="AJ79" s="44"/>
      <c r="AK79" s="45"/>
      <c r="AL79" s="45"/>
      <c r="AM79" s="45"/>
      <c r="AN79" s="46"/>
      <c r="AO79" s="47"/>
      <c r="AP79" s="48"/>
      <c r="AQ79" s="48"/>
      <c r="AR79" s="48"/>
      <c r="AS79" s="48"/>
      <c r="AT79" s="49"/>
      <c r="AU79" s="50" t="s">
        <v>87</v>
      </c>
      <c r="AV79" s="51"/>
      <c r="AW79" s="51" t="s">
        <v>87</v>
      </c>
      <c r="AX79" s="52"/>
      <c r="AY79" s="53"/>
      <c r="AZ79" s="80"/>
      <c r="BA79" s="54"/>
      <c r="BB79" s="55"/>
      <c r="BC79" s="55"/>
      <c r="BD79" s="55"/>
      <c r="BE79" s="55"/>
      <c r="BF79" s="55"/>
      <c r="BG79" s="56"/>
      <c r="BH79" s="57"/>
      <c r="BI79" s="58"/>
      <c r="BJ79" s="58"/>
      <c r="BK79" s="58"/>
      <c r="BL79" s="58"/>
      <c r="BM79" s="58"/>
      <c r="BN79" s="58"/>
      <c r="BO79" s="58"/>
    </row>
    <row r="80" spans="1:67" ht="28.5" customHeight="1" x14ac:dyDescent="0.35">
      <c r="A80" s="66" t="s">
        <v>464</v>
      </c>
      <c r="B80" s="66">
        <v>22062493869</v>
      </c>
      <c r="C80" s="66" t="s">
        <v>80</v>
      </c>
      <c r="D80" s="66" t="s">
        <v>465</v>
      </c>
      <c r="E80" s="66" t="s">
        <v>466</v>
      </c>
      <c r="F80" s="66" t="s">
        <v>83</v>
      </c>
      <c r="G80" s="66" t="str">
        <f>"2009"</f>
        <v>2009</v>
      </c>
      <c r="H80" s="66"/>
      <c r="I80" s="66" t="str">
        <f>"0414867622"</f>
        <v>0414867622</v>
      </c>
      <c r="J80" s="68" t="s">
        <v>467</v>
      </c>
      <c r="K80" s="68" t="s">
        <v>468</v>
      </c>
      <c r="L80" s="59"/>
      <c r="M80" s="60"/>
      <c r="N80" s="60"/>
      <c r="O80" s="60"/>
      <c r="P80" s="60"/>
      <c r="Q80" s="61"/>
      <c r="R80" s="32" t="s">
        <v>87</v>
      </c>
      <c r="S80" s="33" t="s">
        <v>87</v>
      </c>
      <c r="T80" s="33" t="s">
        <v>87</v>
      </c>
      <c r="U80" s="33" t="s">
        <v>87</v>
      </c>
      <c r="V80" s="34" t="s">
        <v>87</v>
      </c>
      <c r="W80" s="35" t="s">
        <v>87</v>
      </c>
      <c r="X80" s="36" t="s">
        <v>87</v>
      </c>
      <c r="Y80" s="36" t="s">
        <v>87</v>
      </c>
      <c r="Z80" s="36" t="s">
        <v>87</v>
      </c>
      <c r="AA80" s="37" t="s">
        <v>87</v>
      </c>
      <c r="AB80" s="38"/>
      <c r="AC80" s="39"/>
      <c r="AD80" s="40"/>
      <c r="AE80" s="41" t="s">
        <v>87</v>
      </c>
      <c r="AF80" s="42" t="s">
        <v>87</v>
      </c>
      <c r="AG80" s="42" t="s">
        <v>87</v>
      </c>
      <c r="AH80" s="42" t="s">
        <v>87</v>
      </c>
      <c r="AI80" s="43" t="s">
        <v>87</v>
      </c>
      <c r="AJ80" s="44"/>
      <c r="AK80" s="45"/>
      <c r="AL80" s="45"/>
      <c r="AM80" s="45"/>
      <c r="AN80" s="46"/>
      <c r="AO80" s="47"/>
      <c r="AP80" s="48"/>
      <c r="AQ80" s="48"/>
      <c r="AR80" s="48"/>
      <c r="AS80" s="48"/>
      <c r="AT80" s="49"/>
      <c r="AU80" s="50"/>
      <c r="AV80" s="51"/>
      <c r="AW80" s="51"/>
      <c r="AX80" s="52"/>
      <c r="AY80" s="53"/>
      <c r="AZ80" s="80"/>
      <c r="BA80" s="54"/>
      <c r="BB80" s="55"/>
      <c r="BC80" s="55" t="s">
        <v>87</v>
      </c>
      <c r="BD80" s="55" t="s">
        <v>87</v>
      </c>
      <c r="BE80" s="55" t="s">
        <v>87</v>
      </c>
      <c r="BF80" s="55" t="s">
        <v>87</v>
      </c>
      <c r="BG80" s="56"/>
      <c r="BH80" s="57"/>
      <c r="BI80" s="58"/>
      <c r="BJ80" s="58"/>
      <c r="BK80" s="58"/>
      <c r="BL80" s="58"/>
      <c r="BM80" s="58"/>
      <c r="BN80" s="58"/>
      <c r="BO80" s="58"/>
    </row>
    <row r="81" spans="1:67" ht="28.5" customHeight="1" x14ac:dyDescent="0.35">
      <c r="A81" s="66" t="s">
        <v>469</v>
      </c>
      <c r="B81" s="66">
        <v>40630190475</v>
      </c>
      <c r="C81" s="66" t="s">
        <v>80</v>
      </c>
      <c r="D81" s="66" t="s">
        <v>470</v>
      </c>
      <c r="E81" s="66" t="s">
        <v>471</v>
      </c>
      <c r="F81" s="66" t="s">
        <v>83</v>
      </c>
      <c r="G81" s="66" t="str">
        <f>"2000"</f>
        <v>2000</v>
      </c>
      <c r="H81" s="66" t="str">
        <f>"02 8912 9500"</f>
        <v>02 8912 9500</v>
      </c>
      <c r="I81" s="66" t="str">
        <f>"0414720720"</f>
        <v>0414720720</v>
      </c>
      <c r="J81" s="68" t="s">
        <v>472</v>
      </c>
      <c r="K81" s="68" t="s">
        <v>473</v>
      </c>
      <c r="L81" s="59"/>
      <c r="M81" s="60"/>
      <c r="N81" s="60"/>
      <c r="O81" s="60"/>
      <c r="P81" s="60"/>
      <c r="Q81" s="61"/>
      <c r="R81" s="32"/>
      <c r="S81" s="33"/>
      <c r="T81" s="33"/>
      <c r="U81" s="33"/>
      <c r="V81" s="34"/>
      <c r="W81" s="35"/>
      <c r="X81" s="36"/>
      <c r="Y81" s="36"/>
      <c r="Z81" s="36"/>
      <c r="AA81" s="37"/>
      <c r="AB81" s="38"/>
      <c r="AC81" s="39"/>
      <c r="AD81" s="40"/>
      <c r="AE81" s="41"/>
      <c r="AF81" s="42" t="s">
        <v>87</v>
      </c>
      <c r="AG81" s="42"/>
      <c r="AH81" s="42"/>
      <c r="AI81" s="43"/>
      <c r="AJ81" s="44"/>
      <c r="AK81" s="45"/>
      <c r="AL81" s="45"/>
      <c r="AM81" s="45"/>
      <c r="AN81" s="46"/>
      <c r="AO81" s="47"/>
      <c r="AP81" s="48"/>
      <c r="AQ81" s="48"/>
      <c r="AR81" s="48"/>
      <c r="AS81" s="48"/>
      <c r="AT81" s="49"/>
      <c r="AU81" s="50"/>
      <c r="AV81" s="51"/>
      <c r="AW81" s="51"/>
      <c r="AX81" s="52"/>
      <c r="AY81" s="53" t="s">
        <v>87</v>
      </c>
      <c r="AZ81" s="80" t="s">
        <v>87</v>
      </c>
      <c r="BA81" s="54"/>
      <c r="BB81" s="55" t="s">
        <v>87</v>
      </c>
      <c r="BC81" s="55" t="s">
        <v>87</v>
      </c>
      <c r="BD81" s="55" t="s">
        <v>87</v>
      </c>
      <c r="BE81" s="55"/>
      <c r="BF81" s="55"/>
      <c r="BG81" s="56"/>
      <c r="BH81" s="57"/>
      <c r="BI81" s="58"/>
      <c r="BJ81" s="58"/>
      <c r="BK81" s="58"/>
      <c r="BL81" s="58"/>
      <c r="BM81" s="58"/>
      <c r="BN81" s="58"/>
      <c r="BO81" s="58"/>
    </row>
    <row r="82" spans="1:67" ht="28.5" customHeight="1" x14ac:dyDescent="0.35">
      <c r="A82" s="66" t="s">
        <v>474</v>
      </c>
      <c r="B82" s="66">
        <v>28741383210</v>
      </c>
      <c r="C82" s="66" t="s">
        <v>80</v>
      </c>
      <c r="D82" s="66" t="s">
        <v>475</v>
      </c>
      <c r="E82" s="66" t="s">
        <v>476</v>
      </c>
      <c r="F82" s="66" t="s">
        <v>83</v>
      </c>
      <c r="G82" s="66" t="str">
        <f>"2009"</f>
        <v>2009</v>
      </c>
      <c r="H82" s="66" t="str">
        <f>"02 8507 0809"</f>
        <v>02 8507 0809</v>
      </c>
      <c r="I82" s="66"/>
      <c r="J82" s="68" t="s">
        <v>477</v>
      </c>
      <c r="K82" s="68" t="s">
        <v>478</v>
      </c>
      <c r="L82" s="59"/>
      <c r="M82" s="60"/>
      <c r="N82" s="60"/>
      <c r="O82" s="60"/>
      <c r="P82" s="60"/>
      <c r="Q82" s="61"/>
      <c r="R82" s="32"/>
      <c r="S82" s="33"/>
      <c r="T82" s="33"/>
      <c r="U82" s="33"/>
      <c r="V82" s="34"/>
      <c r="W82" s="35"/>
      <c r="X82" s="36"/>
      <c r="Y82" s="36"/>
      <c r="Z82" s="36"/>
      <c r="AA82" s="37"/>
      <c r="AB82" s="38"/>
      <c r="AC82" s="39"/>
      <c r="AD82" s="40"/>
      <c r="AE82" s="41"/>
      <c r="AF82" s="42"/>
      <c r="AG82" s="42"/>
      <c r="AH82" s="42"/>
      <c r="AI82" s="43"/>
      <c r="AJ82" s="44"/>
      <c r="AK82" s="45"/>
      <c r="AL82" s="45"/>
      <c r="AM82" s="45"/>
      <c r="AN82" s="46"/>
      <c r="AO82" s="47"/>
      <c r="AP82" s="48"/>
      <c r="AQ82" s="48"/>
      <c r="AR82" s="48"/>
      <c r="AS82" s="48"/>
      <c r="AT82" s="49"/>
      <c r="AU82" s="50"/>
      <c r="AV82" s="51"/>
      <c r="AW82" s="51"/>
      <c r="AX82" s="52"/>
      <c r="AY82" s="53"/>
      <c r="AZ82" s="80"/>
      <c r="BA82" s="54"/>
      <c r="BB82" s="55"/>
      <c r="BC82" s="55"/>
      <c r="BD82" s="55"/>
      <c r="BE82" s="55"/>
      <c r="BF82" s="55"/>
      <c r="BG82" s="56"/>
      <c r="BH82" s="57" t="s">
        <v>87</v>
      </c>
      <c r="BI82" s="58" t="s">
        <v>87</v>
      </c>
      <c r="BJ82" s="58" t="s">
        <v>87</v>
      </c>
      <c r="BK82" s="58" t="s">
        <v>87</v>
      </c>
      <c r="BL82" s="58" t="s">
        <v>87</v>
      </c>
      <c r="BM82" s="58" t="s">
        <v>87</v>
      </c>
      <c r="BN82" s="58" t="s">
        <v>87</v>
      </c>
      <c r="BO82" s="58" t="s">
        <v>87</v>
      </c>
    </row>
    <row r="83" spans="1:67" ht="28.5" customHeight="1" x14ac:dyDescent="0.35">
      <c r="A83" s="66" t="s">
        <v>479</v>
      </c>
      <c r="B83" s="66">
        <v>99130460829</v>
      </c>
      <c r="C83" s="66" t="s">
        <v>80</v>
      </c>
      <c r="D83" s="66" t="s">
        <v>480</v>
      </c>
      <c r="E83" s="66" t="s">
        <v>481</v>
      </c>
      <c r="F83" s="66" t="s">
        <v>379</v>
      </c>
      <c r="G83" s="66" t="str">
        <f>"3066"</f>
        <v>3066</v>
      </c>
      <c r="H83" s="66" t="str">
        <f>"03 9416 0046"</f>
        <v>03 9416 0046</v>
      </c>
      <c r="I83" s="66" t="str">
        <f>"0418541943"</f>
        <v>0418541943</v>
      </c>
      <c r="J83" s="68" t="s">
        <v>482</v>
      </c>
      <c r="K83" s="68" t="s">
        <v>483</v>
      </c>
      <c r="L83" s="59"/>
      <c r="M83" s="60"/>
      <c r="N83" s="60"/>
      <c r="O83" s="60"/>
      <c r="P83" s="60"/>
      <c r="Q83" s="61"/>
      <c r="R83" s="32" t="s">
        <v>87</v>
      </c>
      <c r="S83" s="33" t="s">
        <v>87</v>
      </c>
      <c r="T83" s="33" t="s">
        <v>87</v>
      </c>
      <c r="U83" s="33" t="s">
        <v>87</v>
      </c>
      <c r="V83" s="34" t="s">
        <v>87</v>
      </c>
      <c r="W83" s="35" t="s">
        <v>87</v>
      </c>
      <c r="X83" s="36" t="s">
        <v>87</v>
      </c>
      <c r="Y83" s="36" t="s">
        <v>87</v>
      </c>
      <c r="Z83" s="36"/>
      <c r="AA83" s="37" t="s">
        <v>87</v>
      </c>
      <c r="AB83" s="38"/>
      <c r="AC83" s="39"/>
      <c r="AD83" s="40"/>
      <c r="AE83" s="41"/>
      <c r="AF83" s="42"/>
      <c r="AG83" s="42"/>
      <c r="AH83" s="42"/>
      <c r="AI83" s="43"/>
      <c r="AJ83" s="44"/>
      <c r="AK83" s="45"/>
      <c r="AL83" s="45"/>
      <c r="AM83" s="45"/>
      <c r="AN83" s="46"/>
      <c r="AO83" s="47"/>
      <c r="AP83" s="48"/>
      <c r="AQ83" s="48"/>
      <c r="AR83" s="48"/>
      <c r="AS83" s="48"/>
      <c r="AT83" s="49"/>
      <c r="AU83" s="50" t="s">
        <v>87</v>
      </c>
      <c r="AV83" s="51" t="s">
        <v>87</v>
      </c>
      <c r="AW83" s="51" t="s">
        <v>87</v>
      </c>
      <c r="AX83" s="52" t="s">
        <v>87</v>
      </c>
      <c r="AY83" s="53"/>
      <c r="AZ83" s="80"/>
      <c r="BA83" s="54"/>
      <c r="BB83" s="55"/>
      <c r="BC83" s="55"/>
      <c r="BD83" s="55"/>
      <c r="BE83" s="55"/>
      <c r="BF83" s="55"/>
      <c r="BG83" s="56"/>
      <c r="BH83" s="57"/>
      <c r="BI83" s="58"/>
      <c r="BJ83" s="58"/>
      <c r="BK83" s="58"/>
      <c r="BL83" s="58"/>
      <c r="BM83" s="58"/>
      <c r="BN83" s="58"/>
      <c r="BO83" s="58"/>
    </row>
    <row r="84" spans="1:67" ht="28.5" customHeight="1" x14ac:dyDescent="0.35">
      <c r="A84" s="66" t="s">
        <v>484</v>
      </c>
      <c r="B84" s="66">
        <v>64646493987</v>
      </c>
      <c r="C84" s="66" t="s">
        <v>80</v>
      </c>
      <c r="D84" s="66" t="s">
        <v>485</v>
      </c>
      <c r="E84" s="66" t="s">
        <v>90</v>
      </c>
      <c r="F84" s="66" t="s">
        <v>107</v>
      </c>
      <c r="G84" s="66">
        <v>2604</v>
      </c>
      <c r="H84" s="67"/>
      <c r="I84" s="67" t="s">
        <v>486</v>
      </c>
      <c r="J84" s="68" t="s">
        <v>487</v>
      </c>
      <c r="K84" s="68" t="s">
        <v>488</v>
      </c>
      <c r="L84" s="59"/>
      <c r="M84" s="60"/>
      <c r="N84" s="60"/>
      <c r="O84" s="60"/>
      <c r="P84" s="60"/>
      <c r="Q84" s="61" t="s">
        <v>87</v>
      </c>
      <c r="R84" s="32"/>
      <c r="S84" s="33" t="s">
        <v>87</v>
      </c>
      <c r="T84" s="33"/>
      <c r="U84" s="33"/>
      <c r="V84" s="34"/>
      <c r="W84" s="35"/>
      <c r="X84" s="36"/>
      <c r="Y84" s="36"/>
      <c r="Z84" s="36"/>
      <c r="AA84" s="37"/>
      <c r="AB84" s="38"/>
      <c r="AC84" s="39"/>
      <c r="AD84" s="40"/>
      <c r="AE84" s="41"/>
      <c r="AF84" s="42"/>
      <c r="AG84" s="42"/>
      <c r="AH84" s="42"/>
      <c r="AI84" s="43"/>
      <c r="AJ84" s="44"/>
      <c r="AK84" s="45"/>
      <c r="AL84" s="45"/>
      <c r="AM84" s="45"/>
      <c r="AN84" s="46"/>
      <c r="AO84" s="47"/>
      <c r="AP84" s="48"/>
      <c r="AQ84" s="48"/>
      <c r="AR84" s="48"/>
      <c r="AS84" s="48"/>
      <c r="AT84" s="49"/>
      <c r="AU84" s="50"/>
      <c r="AV84" s="51"/>
      <c r="AW84" s="51"/>
      <c r="AX84" s="52"/>
      <c r="AY84" s="53" t="s">
        <v>87</v>
      </c>
      <c r="AZ84" s="80"/>
      <c r="BA84" s="54"/>
      <c r="BB84" s="55"/>
      <c r="BC84" s="55"/>
      <c r="BD84" s="55"/>
      <c r="BE84" s="55"/>
      <c r="BF84" s="55"/>
      <c r="BG84" s="56"/>
      <c r="BH84" s="57"/>
      <c r="BI84" s="58"/>
      <c r="BJ84" s="58"/>
      <c r="BK84" s="58"/>
      <c r="BL84" s="58"/>
      <c r="BM84" s="58"/>
      <c r="BN84" s="58"/>
      <c r="BO84" s="58"/>
    </row>
    <row r="85" spans="1:67" ht="28.5" customHeight="1" x14ac:dyDescent="0.35">
      <c r="A85" s="66" t="s">
        <v>489</v>
      </c>
      <c r="B85" s="66">
        <v>49606600891</v>
      </c>
      <c r="C85" s="66" t="s">
        <v>80</v>
      </c>
      <c r="D85" s="66" t="s">
        <v>490</v>
      </c>
      <c r="E85" s="66" t="s">
        <v>139</v>
      </c>
      <c r="F85" s="66" t="s">
        <v>83</v>
      </c>
      <c r="G85" s="66" t="str">
        <f>"2000"</f>
        <v>2000</v>
      </c>
      <c r="H85" s="66" t="str">
        <f>"02 9227 9700"</f>
        <v>02 9227 9700</v>
      </c>
      <c r="I85" s="66" t="str">
        <f>"0403046556"</f>
        <v>0403046556</v>
      </c>
      <c r="J85" s="68" t="s">
        <v>491</v>
      </c>
      <c r="K85" s="68" t="s">
        <v>492</v>
      </c>
      <c r="L85" s="59"/>
      <c r="M85" s="60"/>
      <c r="N85" s="60"/>
      <c r="O85" s="60"/>
      <c r="P85" s="60"/>
      <c r="Q85" s="61"/>
      <c r="R85" s="32"/>
      <c r="S85" s="33"/>
      <c r="T85" s="33"/>
      <c r="U85" s="33"/>
      <c r="V85" s="34"/>
      <c r="W85" s="35"/>
      <c r="X85" s="36"/>
      <c r="Y85" s="36"/>
      <c r="Z85" s="36"/>
      <c r="AA85" s="37"/>
      <c r="AB85" s="38"/>
      <c r="AC85" s="39"/>
      <c r="AD85" s="40"/>
      <c r="AE85" s="41"/>
      <c r="AF85" s="42"/>
      <c r="AG85" s="42"/>
      <c r="AH85" s="42"/>
      <c r="AI85" s="43"/>
      <c r="AJ85" s="44"/>
      <c r="AK85" s="45"/>
      <c r="AL85" s="45"/>
      <c r="AM85" s="45"/>
      <c r="AN85" s="46"/>
      <c r="AO85" s="47"/>
      <c r="AP85" s="48"/>
      <c r="AQ85" s="48"/>
      <c r="AR85" s="48"/>
      <c r="AS85" s="48"/>
      <c r="AT85" s="49"/>
      <c r="AU85" s="50" t="s">
        <v>87</v>
      </c>
      <c r="AV85" s="51" t="s">
        <v>87</v>
      </c>
      <c r="AW85" s="51" t="s">
        <v>87</v>
      </c>
      <c r="AX85" s="52"/>
      <c r="AY85" s="53"/>
      <c r="AZ85" s="80"/>
      <c r="BA85" s="54"/>
      <c r="BB85" s="55"/>
      <c r="BC85" s="55"/>
      <c r="BD85" s="55"/>
      <c r="BE85" s="55"/>
      <c r="BF85" s="55"/>
      <c r="BG85" s="56"/>
      <c r="BH85" s="57"/>
      <c r="BI85" s="58"/>
      <c r="BJ85" s="58"/>
      <c r="BK85" s="58"/>
      <c r="BL85" s="58"/>
      <c r="BM85" s="58"/>
      <c r="BN85" s="58"/>
      <c r="BO85" s="58"/>
    </row>
    <row r="86" spans="1:67" ht="28.5" customHeight="1" x14ac:dyDescent="0.35">
      <c r="A86" s="66" t="s">
        <v>493</v>
      </c>
      <c r="B86" s="66">
        <v>79609098704</v>
      </c>
      <c r="C86" s="66" t="s">
        <v>80</v>
      </c>
      <c r="D86" s="66" t="s">
        <v>494</v>
      </c>
      <c r="E86" s="66" t="s">
        <v>132</v>
      </c>
      <c r="F86" s="66" t="s">
        <v>83</v>
      </c>
      <c r="G86" s="66" t="str">
        <f>"2016"</f>
        <v>2016</v>
      </c>
      <c r="H86" s="66" t="str">
        <f>"02 8090 7737"</f>
        <v>02 8090 7737</v>
      </c>
      <c r="I86" s="66" t="str">
        <f>"0419292207"</f>
        <v>0419292207</v>
      </c>
      <c r="J86" s="68" t="s">
        <v>495</v>
      </c>
      <c r="K86" s="68" t="s">
        <v>496</v>
      </c>
      <c r="L86" s="59" t="s">
        <v>87</v>
      </c>
      <c r="M86" s="60"/>
      <c r="N86" s="60" t="s">
        <v>87</v>
      </c>
      <c r="O86" s="60"/>
      <c r="P86" s="60" t="s">
        <v>87</v>
      </c>
      <c r="Q86" s="61" t="s">
        <v>87</v>
      </c>
      <c r="R86" s="32"/>
      <c r="S86" s="33"/>
      <c r="T86" s="33"/>
      <c r="U86" s="33"/>
      <c r="V86" s="34"/>
      <c r="W86" s="35"/>
      <c r="X86" s="36"/>
      <c r="Y86" s="36"/>
      <c r="Z86" s="36"/>
      <c r="AA86" s="37"/>
      <c r="AB86" s="38"/>
      <c r="AC86" s="39"/>
      <c r="AD86" s="40"/>
      <c r="AE86" s="41"/>
      <c r="AF86" s="42"/>
      <c r="AG86" s="42"/>
      <c r="AH86" s="42"/>
      <c r="AI86" s="43"/>
      <c r="AJ86" s="44"/>
      <c r="AK86" s="45"/>
      <c r="AL86" s="45"/>
      <c r="AM86" s="45"/>
      <c r="AN86" s="46"/>
      <c r="AO86" s="47" t="s">
        <v>87</v>
      </c>
      <c r="AP86" s="48" t="s">
        <v>87</v>
      </c>
      <c r="AQ86" s="48" t="s">
        <v>87</v>
      </c>
      <c r="AR86" s="48" t="s">
        <v>87</v>
      </c>
      <c r="AS86" s="48"/>
      <c r="AT86" s="49" t="s">
        <v>87</v>
      </c>
      <c r="AU86" s="50"/>
      <c r="AV86" s="51"/>
      <c r="AW86" s="51"/>
      <c r="AX86" s="52"/>
      <c r="AY86" s="53"/>
      <c r="AZ86" s="80"/>
      <c r="BA86" s="54"/>
      <c r="BB86" s="55"/>
      <c r="BC86" s="55"/>
      <c r="BD86" s="55"/>
      <c r="BE86" s="55"/>
      <c r="BF86" s="55"/>
      <c r="BG86" s="56"/>
      <c r="BH86" s="57"/>
      <c r="BI86" s="58"/>
      <c r="BJ86" s="58"/>
      <c r="BK86" s="58"/>
      <c r="BL86" s="58"/>
      <c r="BM86" s="58"/>
      <c r="BN86" s="58"/>
      <c r="BO86" s="58"/>
    </row>
    <row r="87" spans="1:67" ht="28.5" customHeight="1" x14ac:dyDescent="0.35">
      <c r="A87" s="66" t="s">
        <v>497</v>
      </c>
      <c r="B87" s="66">
        <v>93604055674</v>
      </c>
      <c r="C87" s="66" t="s">
        <v>80</v>
      </c>
      <c r="D87" s="66" t="s">
        <v>498</v>
      </c>
      <c r="E87" s="66" t="s">
        <v>481</v>
      </c>
      <c r="F87" s="66" t="s">
        <v>83</v>
      </c>
      <c r="G87" s="66" t="str">
        <f>"2026"</f>
        <v>2026</v>
      </c>
      <c r="H87" s="66" t="str">
        <f>"02 8014 5657"</f>
        <v>02 8014 5657</v>
      </c>
      <c r="I87" s="66" t="str">
        <f>"0409938675"</f>
        <v>0409938675</v>
      </c>
      <c r="J87" s="68" t="s">
        <v>499</v>
      </c>
      <c r="K87" s="68" t="s">
        <v>500</v>
      </c>
      <c r="L87" s="59"/>
      <c r="M87" s="60"/>
      <c r="N87" s="60"/>
      <c r="O87" s="60"/>
      <c r="P87" s="60"/>
      <c r="Q87" s="61"/>
      <c r="R87" s="32" t="s">
        <v>87</v>
      </c>
      <c r="S87" s="33" t="s">
        <v>87</v>
      </c>
      <c r="T87" s="33" t="s">
        <v>87</v>
      </c>
      <c r="U87" s="33" t="s">
        <v>87</v>
      </c>
      <c r="V87" s="34" t="s">
        <v>87</v>
      </c>
      <c r="W87" s="35" t="s">
        <v>87</v>
      </c>
      <c r="X87" s="36" t="s">
        <v>87</v>
      </c>
      <c r="Y87" s="36"/>
      <c r="Z87" s="36" t="s">
        <v>87</v>
      </c>
      <c r="AA87" s="37" t="s">
        <v>87</v>
      </c>
      <c r="AB87" s="38"/>
      <c r="AC87" s="39"/>
      <c r="AD87" s="40"/>
      <c r="AE87" s="41"/>
      <c r="AF87" s="42"/>
      <c r="AG87" s="42"/>
      <c r="AH87" s="42"/>
      <c r="AI87" s="43"/>
      <c r="AJ87" s="44"/>
      <c r="AK87" s="45"/>
      <c r="AL87" s="45"/>
      <c r="AM87" s="45"/>
      <c r="AN87" s="46"/>
      <c r="AO87" s="47"/>
      <c r="AP87" s="48"/>
      <c r="AQ87" s="48"/>
      <c r="AR87" s="48"/>
      <c r="AS87" s="48"/>
      <c r="AT87" s="49"/>
      <c r="AU87" s="50"/>
      <c r="AV87" s="51"/>
      <c r="AW87" s="51"/>
      <c r="AX87" s="52"/>
      <c r="AY87" s="53"/>
      <c r="AZ87" s="80"/>
      <c r="BA87" s="54"/>
      <c r="BB87" s="55"/>
      <c r="BC87" s="55"/>
      <c r="BD87" s="55"/>
      <c r="BE87" s="55"/>
      <c r="BF87" s="55"/>
      <c r="BG87" s="56"/>
      <c r="BH87" s="57" t="s">
        <v>87</v>
      </c>
      <c r="BI87" s="58" t="s">
        <v>87</v>
      </c>
      <c r="BJ87" s="58" t="s">
        <v>87</v>
      </c>
      <c r="BK87" s="58" t="s">
        <v>87</v>
      </c>
      <c r="BL87" s="58"/>
      <c r="BM87" s="58"/>
      <c r="BN87" s="58" t="s">
        <v>87</v>
      </c>
      <c r="BO87" s="58" t="s">
        <v>87</v>
      </c>
    </row>
    <row r="88" spans="1:67" ht="28.5" customHeight="1" x14ac:dyDescent="0.35">
      <c r="A88" s="66" t="s">
        <v>501</v>
      </c>
      <c r="B88" s="66">
        <v>20001369991</v>
      </c>
      <c r="C88" s="66" t="s">
        <v>80</v>
      </c>
      <c r="D88" s="66" t="s">
        <v>502</v>
      </c>
      <c r="E88" s="66" t="s">
        <v>132</v>
      </c>
      <c r="F88" s="66" t="s">
        <v>83</v>
      </c>
      <c r="G88" s="66" t="str">
        <f>"2010"</f>
        <v>2010</v>
      </c>
      <c r="H88" s="66" t="str">
        <f>"02 9212 1800"</f>
        <v>02 9212 1800</v>
      </c>
      <c r="I88" s="66" t="str">
        <f>"0417411471"</f>
        <v>0417411471</v>
      </c>
      <c r="J88" s="68" t="s">
        <v>503</v>
      </c>
      <c r="K88" s="68" t="s">
        <v>504</v>
      </c>
      <c r="L88" s="59"/>
      <c r="M88" s="60"/>
      <c r="N88" s="60"/>
      <c r="O88" s="60"/>
      <c r="P88" s="60"/>
      <c r="Q88" s="61"/>
      <c r="R88" s="32"/>
      <c r="S88" s="33"/>
      <c r="T88" s="33"/>
      <c r="U88" s="33"/>
      <c r="V88" s="34"/>
      <c r="W88" s="35"/>
      <c r="X88" s="36"/>
      <c r="Y88" s="36"/>
      <c r="Z88" s="36"/>
      <c r="AA88" s="37"/>
      <c r="AB88" s="38"/>
      <c r="AC88" s="39"/>
      <c r="AD88" s="40"/>
      <c r="AE88" s="41"/>
      <c r="AF88" s="42"/>
      <c r="AG88" s="42"/>
      <c r="AH88" s="42"/>
      <c r="AI88" s="43"/>
      <c r="AJ88" s="44"/>
      <c r="AK88" s="45"/>
      <c r="AL88" s="45"/>
      <c r="AM88" s="45"/>
      <c r="AN88" s="46"/>
      <c r="AO88" s="47"/>
      <c r="AP88" s="48"/>
      <c r="AQ88" s="48"/>
      <c r="AR88" s="48"/>
      <c r="AS88" s="48"/>
      <c r="AT88" s="49"/>
      <c r="AU88" s="50" t="s">
        <v>87</v>
      </c>
      <c r="AV88" s="51" t="s">
        <v>87</v>
      </c>
      <c r="AW88" s="51" t="s">
        <v>87</v>
      </c>
      <c r="AX88" s="52" t="s">
        <v>87</v>
      </c>
      <c r="AY88" s="53"/>
      <c r="AZ88" s="80"/>
      <c r="BA88" s="54"/>
      <c r="BB88" s="55"/>
      <c r="BC88" s="55"/>
      <c r="BD88" s="55"/>
      <c r="BE88" s="55"/>
      <c r="BF88" s="55"/>
      <c r="BG88" s="56"/>
      <c r="BH88" s="57"/>
      <c r="BI88" s="58"/>
      <c r="BJ88" s="58"/>
      <c r="BK88" s="58"/>
      <c r="BL88" s="58"/>
      <c r="BM88" s="58"/>
      <c r="BN88" s="58"/>
      <c r="BO88" s="58"/>
    </row>
    <row r="89" spans="1:67" ht="28.5" customHeight="1" x14ac:dyDescent="0.35">
      <c r="A89" s="69" t="s">
        <v>505</v>
      </c>
      <c r="B89" s="69">
        <v>51140718038</v>
      </c>
      <c r="C89" s="69" t="s">
        <v>80</v>
      </c>
      <c r="D89" s="69" t="s">
        <v>506</v>
      </c>
      <c r="E89" s="69" t="s">
        <v>507</v>
      </c>
      <c r="F89" s="69" t="s">
        <v>83</v>
      </c>
      <c r="G89" s="69">
        <v>2060</v>
      </c>
      <c r="H89" s="69"/>
      <c r="I89" s="71" t="s">
        <v>508</v>
      </c>
      <c r="J89" s="70" t="s">
        <v>509</v>
      </c>
      <c r="K89" s="70" t="s">
        <v>510</v>
      </c>
      <c r="L89" s="59"/>
      <c r="M89" s="60"/>
      <c r="N89" s="60"/>
      <c r="O89" s="60"/>
      <c r="P89" s="60"/>
      <c r="Q89" s="61"/>
      <c r="R89" s="32"/>
      <c r="S89" s="33" t="s">
        <v>87</v>
      </c>
      <c r="T89" s="33" t="s">
        <v>87</v>
      </c>
      <c r="U89" s="33" t="s">
        <v>87</v>
      </c>
      <c r="V89" s="34" t="s">
        <v>87</v>
      </c>
      <c r="W89" s="35" t="s">
        <v>87</v>
      </c>
      <c r="X89" s="36" t="s">
        <v>87</v>
      </c>
      <c r="Y89" s="36" t="s">
        <v>87</v>
      </c>
      <c r="Z89" s="36"/>
      <c r="AA89" s="37" t="s">
        <v>87</v>
      </c>
      <c r="AB89" s="38"/>
      <c r="AC89" s="39"/>
      <c r="AD89" s="40"/>
      <c r="AE89" s="41"/>
      <c r="AF89" s="42"/>
      <c r="AG89" s="42"/>
      <c r="AH89" s="42"/>
      <c r="AI89" s="43"/>
      <c r="AJ89" s="44"/>
      <c r="AK89" s="45"/>
      <c r="AL89" s="45"/>
      <c r="AM89" s="45"/>
      <c r="AN89" s="46"/>
      <c r="AO89" s="47"/>
      <c r="AP89" s="48"/>
      <c r="AQ89" s="48"/>
      <c r="AR89" s="48"/>
      <c r="AS89" s="48"/>
      <c r="AT89" s="49"/>
      <c r="AU89" s="50" t="s">
        <v>87</v>
      </c>
      <c r="AV89" s="51" t="s">
        <v>87</v>
      </c>
      <c r="AW89" s="51" t="s">
        <v>87</v>
      </c>
      <c r="AX89" s="52"/>
      <c r="AY89" s="53"/>
      <c r="AZ89" s="80"/>
      <c r="BA89" s="54"/>
      <c r="BB89" s="55"/>
      <c r="BC89" s="55"/>
      <c r="BD89" s="55"/>
      <c r="BE89" s="55"/>
      <c r="BF89" s="55"/>
      <c r="BG89" s="56"/>
      <c r="BH89" s="57"/>
      <c r="BI89" s="58"/>
      <c r="BJ89" s="58"/>
      <c r="BK89" s="58"/>
      <c r="BL89" s="58"/>
      <c r="BM89" s="58"/>
      <c r="BN89" s="58"/>
      <c r="BO89" s="58"/>
    </row>
    <row r="90" spans="1:67" ht="28.5" customHeight="1" x14ac:dyDescent="0.35">
      <c r="A90" s="66" t="s">
        <v>511</v>
      </c>
      <c r="B90" s="66">
        <v>39126100276</v>
      </c>
      <c r="C90" s="66" t="s">
        <v>80</v>
      </c>
      <c r="D90" s="66" t="s">
        <v>512</v>
      </c>
      <c r="E90" s="66" t="s">
        <v>513</v>
      </c>
      <c r="F90" s="66" t="s">
        <v>379</v>
      </c>
      <c r="G90" s="66" t="str">
        <f>"3000"</f>
        <v>3000</v>
      </c>
      <c r="H90" s="66"/>
      <c r="I90" s="66" t="str">
        <f>"0402009984"</f>
        <v>0402009984</v>
      </c>
      <c r="J90" s="68" t="s">
        <v>514</v>
      </c>
      <c r="K90" s="68" t="s">
        <v>515</v>
      </c>
      <c r="L90" s="59" t="s">
        <v>87</v>
      </c>
      <c r="M90" s="60" t="s">
        <v>87</v>
      </c>
      <c r="N90" s="60" t="s">
        <v>87</v>
      </c>
      <c r="O90" s="60" t="s">
        <v>87</v>
      </c>
      <c r="P90" s="60" t="s">
        <v>87</v>
      </c>
      <c r="Q90" s="61" t="s">
        <v>87</v>
      </c>
      <c r="R90" s="32"/>
      <c r="S90" s="33"/>
      <c r="T90" s="33"/>
      <c r="U90" s="33"/>
      <c r="V90" s="34"/>
      <c r="W90" s="35"/>
      <c r="X90" s="36"/>
      <c r="Y90" s="36"/>
      <c r="Z90" s="36"/>
      <c r="AA90" s="37"/>
      <c r="AB90" s="38"/>
      <c r="AC90" s="39"/>
      <c r="AD90" s="40"/>
      <c r="AE90" s="41"/>
      <c r="AF90" s="42"/>
      <c r="AG90" s="42"/>
      <c r="AH90" s="42"/>
      <c r="AI90" s="43"/>
      <c r="AJ90" s="44"/>
      <c r="AK90" s="45"/>
      <c r="AL90" s="45"/>
      <c r="AM90" s="45" t="s">
        <v>87</v>
      </c>
      <c r="AN90" s="46"/>
      <c r="AO90" s="47"/>
      <c r="AP90" s="48"/>
      <c r="AQ90" s="48" t="s">
        <v>87</v>
      </c>
      <c r="AR90" s="48"/>
      <c r="AS90" s="48"/>
      <c r="AT90" s="49"/>
      <c r="AU90" s="50"/>
      <c r="AV90" s="51"/>
      <c r="AW90" s="51"/>
      <c r="AX90" s="52"/>
      <c r="AY90" s="53"/>
      <c r="AZ90" s="80"/>
      <c r="BA90" s="54"/>
      <c r="BB90" s="55"/>
      <c r="BC90" s="55"/>
      <c r="BD90" s="55"/>
      <c r="BE90" s="55"/>
      <c r="BF90" s="55"/>
      <c r="BG90" s="56"/>
      <c r="BH90" s="57"/>
      <c r="BI90" s="58"/>
      <c r="BJ90" s="58"/>
      <c r="BK90" s="58"/>
      <c r="BL90" s="58"/>
      <c r="BM90" s="58"/>
      <c r="BN90" s="58"/>
      <c r="BO90" s="58"/>
    </row>
    <row r="91" spans="1:67" ht="28.5" customHeight="1" x14ac:dyDescent="0.35">
      <c r="A91" s="66" t="s">
        <v>516</v>
      </c>
      <c r="B91" s="66">
        <v>83072426709</v>
      </c>
      <c r="C91" s="66" t="s">
        <v>80</v>
      </c>
      <c r="D91" s="66" t="s">
        <v>517</v>
      </c>
      <c r="E91" s="66" t="s">
        <v>218</v>
      </c>
      <c r="F91" s="66" t="s">
        <v>83</v>
      </c>
      <c r="G91" s="66" t="str">
        <f>"2010"</f>
        <v>2010</v>
      </c>
      <c r="H91" s="66" t="str">
        <f>"02 8303 5500"</f>
        <v>02 8303 5500</v>
      </c>
      <c r="I91" s="66" t="str">
        <f>"0411555336"</f>
        <v>0411555336</v>
      </c>
      <c r="J91" s="68" t="s">
        <v>518</v>
      </c>
      <c r="K91" s="68" t="s">
        <v>519</v>
      </c>
      <c r="L91" s="59"/>
      <c r="M91" s="60"/>
      <c r="N91" s="60"/>
      <c r="O91" s="60"/>
      <c r="P91" s="60"/>
      <c r="Q91" s="61"/>
      <c r="R91" s="32" t="s">
        <v>87</v>
      </c>
      <c r="S91" s="33" t="s">
        <v>87</v>
      </c>
      <c r="T91" s="33" t="s">
        <v>87</v>
      </c>
      <c r="U91" s="33"/>
      <c r="V91" s="34" t="s">
        <v>87</v>
      </c>
      <c r="W91" s="35" t="s">
        <v>87</v>
      </c>
      <c r="X91" s="36" t="s">
        <v>87</v>
      </c>
      <c r="Y91" s="36" t="s">
        <v>87</v>
      </c>
      <c r="Z91" s="36" t="s">
        <v>87</v>
      </c>
      <c r="AA91" s="37" t="s">
        <v>87</v>
      </c>
      <c r="AB91" s="38" t="s">
        <v>87</v>
      </c>
      <c r="AC91" s="39" t="s">
        <v>87</v>
      </c>
      <c r="AD91" s="40" t="s">
        <v>87</v>
      </c>
      <c r="AE91" s="41"/>
      <c r="AF91" s="42"/>
      <c r="AG91" s="42"/>
      <c r="AH91" s="42"/>
      <c r="AI91" s="43"/>
      <c r="AJ91" s="44"/>
      <c r="AK91" s="45"/>
      <c r="AL91" s="45"/>
      <c r="AM91" s="45"/>
      <c r="AN91" s="46"/>
      <c r="AO91" s="47"/>
      <c r="AP91" s="48"/>
      <c r="AQ91" s="48"/>
      <c r="AR91" s="48"/>
      <c r="AS91" s="48"/>
      <c r="AT91" s="49"/>
      <c r="AU91" s="50"/>
      <c r="AV91" s="51"/>
      <c r="AW91" s="51"/>
      <c r="AX91" s="52"/>
      <c r="AY91" s="53"/>
      <c r="AZ91" s="80"/>
      <c r="BA91" s="54"/>
      <c r="BB91" s="55"/>
      <c r="BC91" s="55"/>
      <c r="BD91" s="55"/>
      <c r="BE91" s="55"/>
      <c r="BF91" s="55"/>
      <c r="BG91" s="56"/>
      <c r="BH91" s="57"/>
      <c r="BI91" s="58"/>
      <c r="BJ91" s="58"/>
      <c r="BK91" s="58"/>
      <c r="BL91" s="58"/>
      <c r="BM91" s="58"/>
      <c r="BN91" s="58"/>
      <c r="BO91" s="58"/>
    </row>
    <row r="92" spans="1:67" ht="28.5" customHeight="1" x14ac:dyDescent="0.35">
      <c r="A92" s="66" t="s">
        <v>520</v>
      </c>
      <c r="B92" s="66">
        <v>64125411958</v>
      </c>
      <c r="C92" s="66" t="s">
        <v>80</v>
      </c>
      <c r="D92" s="66" t="s">
        <v>521</v>
      </c>
      <c r="E92" s="66" t="s">
        <v>522</v>
      </c>
      <c r="F92" s="66" t="s">
        <v>83</v>
      </c>
      <c r="G92" s="66">
        <v>2088</v>
      </c>
      <c r="H92" s="66"/>
      <c r="I92" s="67" t="s">
        <v>523</v>
      </c>
      <c r="J92" s="68" t="s">
        <v>524</v>
      </c>
      <c r="K92" s="68" t="s">
        <v>525</v>
      </c>
      <c r="L92" s="59"/>
      <c r="M92" s="60"/>
      <c r="N92" s="60"/>
      <c r="O92" s="60"/>
      <c r="P92" s="60"/>
      <c r="Q92" s="61"/>
      <c r="R92" s="32"/>
      <c r="S92" s="33" t="s">
        <v>87</v>
      </c>
      <c r="T92" s="33" t="s">
        <v>87</v>
      </c>
      <c r="U92" s="33"/>
      <c r="V92" s="34"/>
      <c r="W92" s="35"/>
      <c r="X92" s="36"/>
      <c r="Y92" s="36"/>
      <c r="Z92" s="36"/>
      <c r="AA92" s="37"/>
      <c r="AB92" s="38"/>
      <c r="AC92" s="39"/>
      <c r="AD92" s="40"/>
      <c r="AE92" s="41"/>
      <c r="AF92" s="42"/>
      <c r="AG92" s="42"/>
      <c r="AH92" s="42"/>
      <c r="AI92" s="43"/>
      <c r="AJ92" s="44"/>
      <c r="AK92" s="45"/>
      <c r="AL92" s="45"/>
      <c r="AM92" s="45"/>
      <c r="AN92" s="46"/>
      <c r="AO92" s="47"/>
      <c r="AP92" s="48"/>
      <c r="AQ92" s="48"/>
      <c r="AR92" s="48"/>
      <c r="AS92" s="48"/>
      <c r="AT92" s="49"/>
      <c r="AU92" s="50"/>
      <c r="AV92" s="51"/>
      <c r="AW92" s="51"/>
      <c r="AX92" s="52"/>
      <c r="AY92" s="53"/>
      <c r="AZ92" s="80"/>
      <c r="BA92" s="54"/>
      <c r="BB92" s="55"/>
      <c r="BC92" s="55"/>
      <c r="BD92" s="55"/>
      <c r="BE92" s="55"/>
      <c r="BF92" s="55"/>
      <c r="BG92" s="56"/>
      <c r="BH92" s="57" t="s">
        <v>87</v>
      </c>
      <c r="BI92" s="58" t="s">
        <v>87</v>
      </c>
      <c r="BJ92" s="58" t="s">
        <v>87</v>
      </c>
      <c r="BK92" s="58" t="s">
        <v>87</v>
      </c>
      <c r="BL92" s="58" t="s">
        <v>87</v>
      </c>
      <c r="BM92" s="58" t="s">
        <v>87</v>
      </c>
      <c r="BN92" s="58" t="s">
        <v>87</v>
      </c>
      <c r="BO92" s="58" t="s">
        <v>87</v>
      </c>
    </row>
    <row r="93" spans="1:67" ht="28.5" customHeight="1" x14ac:dyDescent="0.35">
      <c r="A93" s="66" t="s">
        <v>526</v>
      </c>
      <c r="B93" s="66">
        <v>50005373508</v>
      </c>
      <c r="C93" s="66" t="s">
        <v>80</v>
      </c>
      <c r="D93" s="66" t="s">
        <v>527</v>
      </c>
      <c r="E93" s="66" t="s">
        <v>528</v>
      </c>
      <c r="F93" s="66" t="s">
        <v>83</v>
      </c>
      <c r="G93" s="66" t="str">
        <f>"2000"</f>
        <v>2000</v>
      </c>
      <c r="H93" s="66" t="str">
        <f>"02 9277 1242"</f>
        <v>02 9277 1242</v>
      </c>
      <c r="I93" s="66" t="str">
        <f>"0403488477"</f>
        <v>0403488477</v>
      </c>
      <c r="J93" s="68" t="s">
        <v>529</v>
      </c>
      <c r="K93" s="68" t="s">
        <v>530</v>
      </c>
      <c r="L93" s="59"/>
      <c r="M93" s="60"/>
      <c r="N93" s="60"/>
      <c r="O93" s="60"/>
      <c r="P93" s="60"/>
      <c r="Q93" s="61"/>
      <c r="R93" s="32"/>
      <c r="S93" s="33"/>
      <c r="T93" s="33"/>
      <c r="U93" s="33"/>
      <c r="V93" s="34"/>
      <c r="W93" s="35"/>
      <c r="X93" s="36"/>
      <c r="Y93" s="36"/>
      <c r="Z93" s="36"/>
      <c r="AA93" s="37"/>
      <c r="AB93" s="38" t="s">
        <v>87</v>
      </c>
      <c r="AC93" s="39"/>
      <c r="AD93" s="40"/>
      <c r="AE93" s="41"/>
      <c r="AF93" s="42"/>
      <c r="AG93" s="42"/>
      <c r="AH93" s="42"/>
      <c r="AI93" s="43"/>
      <c r="AJ93" s="44"/>
      <c r="AK93" s="45"/>
      <c r="AL93" s="45"/>
      <c r="AM93" s="45"/>
      <c r="AN93" s="46"/>
      <c r="AO93" s="47" t="s">
        <v>87</v>
      </c>
      <c r="AP93" s="48" t="s">
        <v>87</v>
      </c>
      <c r="AQ93" s="48" t="s">
        <v>87</v>
      </c>
      <c r="AR93" s="48" t="s">
        <v>87</v>
      </c>
      <c r="AS93" s="48" t="s">
        <v>87</v>
      </c>
      <c r="AT93" s="49" t="s">
        <v>87</v>
      </c>
      <c r="AU93" s="50"/>
      <c r="AV93" s="51"/>
      <c r="AW93" s="51"/>
      <c r="AX93" s="52"/>
      <c r="AY93" s="53"/>
      <c r="AZ93" s="80"/>
      <c r="BA93" s="54"/>
      <c r="BB93" s="55"/>
      <c r="BC93" s="55"/>
      <c r="BD93" s="55"/>
      <c r="BE93" s="55"/>
      <c r="BF93" s="55"/>
      <c r="BG93" s="56"/>
      <c r="BH93" s="57"/>
      <c r="BI93" s="58"/>
      <c r="BJ93" s="58"/>
      <c r="BK93" s="58"/>
      <c r="BL93" s="58"/>
      <c r="BM93" s="58"/>
      <c r="BN93" s="58"/>
      <c r="BO93" s="58"/>
    </row>
    <row r="94" spans="1:67" ht="28.5" customHeight="1" x14ac:dyDescent="0.35">
      <c r="A94" s="66" t="s">
        <v>531</v>
      </c>
      <c r="B94" s="66">
        <v>49601462677</v>
      </c>
      <c r="C94" s="66" t="s">
        <v>80</v>
      </c>
      <c r="D94" s="66" t="s">
        <v>532</v>
      </c>
      <c r="E94" s="66" t="s">
        <v>152</v>
      </c>
      <c r="F94" s="66" t="s">
        <v>379</v>
      </c>
      <c r="G94" s="66" t="str">
        <f>"3166"</f>
        <v>3166</v>
      </c>
      <c r="H94" s="66" t="str">
        <f>"1300 727 441"</f>
        <v>1300 727 441</v>
      </c>
      <c r="I94" s="66" t="str">
        <f>"0412650273"</f>
        <v>0412650273</v>
      </c>
      <c r="J94" s="68" t="s">
        <v>533</v>
      </c>
      <c r="K94" s="68" t="s">
        <v>534</v>
      </c>
      <c r="L94" s="59"/>
      <c r="M94" s="60"/>
      <c r="N94" s="60"/>
      <c r="O94" s="60"/>
      <c r="P94" s="60"/>
      <c r="Q94" s="61"/>
      <c r="R94" s="32"/>
      <c r="S94" s="33"/>
      <c r="T94" s="33"/>
      <c r="U94" s="33"/>
      <c r="V94" s="34"/>
      <c r="W94" s="35"/>
      <c r="X94" s="36"/>
      <c r="Y94" s="36"/>
      <c r="Z94" s="36"/>
      <c r="AA94" s="37"/>
      <c r="AB94" s="38"/>
      <c r="AC94" s="39"/>
      <c r="AD94" s="40"/>
      <c r="AE94" s="41"/>
      <c r="AF94" s="42"/>
      <c r="AG94" s="42"/>
      <c r="AH94" s="42"/>
      <c r="AI94" s="43"/>
      <c r="AJ94" s="44"/>
      <c r="AK94" s="45"/>
      <c r="AL94" s="45"/>
      <c r="AM94" s="45"/>
      <c r="AN94" s="46"/>
      <c r="AO94" s="47" t="s">
        <v>87</v>
      </c>
      <c r="AP94" s="48" t="s">
        <v>87</v>
      </c>
      <c r="AQ94" s="48"/>
      <c r="AR94" s="48" t="s">
        <v>87</v>
      </c>
      <c r="AS94" s="48"/>
      <c r="AT94" s="49"/>
      <c r="AU94" s="50"/>
      <c r="AV94" s="51"/>
      <c r="AW94" s="51"/>
      <c r="AX94" s="52"/>
      <c r="AY94" s="53"/>
      <c r="AZ94" s="80"/>
      <c r="BA94" s="54"/>
      <c r="BB94" s="55"/>
      <c r="BC94" s="55"/>
      <c r="BD94" s="55"/>
      <c r="BE94" s="55"/>
      <c r="BF94" s="55"/>
      <c r="BG94" s="56"/>
      <c r="BH94" s="57"/>
      <c r="BI94" s="58"/>
      <c r="BJ94" s="58"/>
      <c r="BK94" s="58"/>
      <c r="BL94" s="58"/>
      <c r="BM94" s="58"/>
      <c r="BN94" s="58"/>
      <c r="BO94" s="58"/>
    </row>
    <row r="95" spans="1:67" ht="28.5" customHeight="1" x14ac:dyDescent="0.35">
      <c r="A95" s="66" t="s">
        <v>535</v>
      </c>
      <c r="B95" s="66">
        <v>34635209219</v>
      </c>
      <c r="C95" s="66" t="s">
        <v>80</v>
      </c>
      <c r="D95" s="66" t="s">
        <v>536</v>
      </c>
      <c r="E95" s="66" t="s">
        <v>537</v>
      </c>
      <c r="F95" s="66" t="s">
        <v>83</v>
      </c>
      <c r="G95" s="66">
        <v>2000</v>
      </c>
      <c r="H95" s="66" t="s">
        <v>538</v>
      </c>
      <c r="I95" s="67" t="s">
        <v>539</v>
      </c>
      <c r="J95" s="68" t="s">
        <v>540</v>
      </c>
      <c r="K95" s="68" t="s">
        <v>541</v>
      </c>
      <c r="L95" s="59"/>
      <c r="M95" s="60"/>
      <c r="N95" s="60"/>
      <c r="O95" s="60"/>
      <c r="P95" s="60"/>
      <c r="Q95" s="61"/>
      <c r="R95" s="32" t="s">
        <v>87</v>
      </c>
      <c r="S95" s="33" t="s">
        <v>87</v>
      </c>
      <c r="T95" s="33" t="s">
        <v>87</v>
      </c>
      <c r="U95" s="33" t="s">
        <v>87</v>
      </c>
      <c r="V95" s="34" t="s">
        <v>87</v>
      </c>
      <c r="W95" s="35" t="s">
        <v>87</v>
      </c>
      <c r="X95" s="36" t="s">
        <v>87</v>
      </c>
      <c r="Y95" s="36" t="s">
        <v>87</v>
      </c>
      <c r="Z95" s="36"/>
      <c r="AA95" s="37"/>
      <c r="AB95" s="38"/>
      <c r="AC95" s="39"/>
      <c r="AD95" s="40"/>
      <c r="AE95" s="41"/>
      <c r="AF95" s="42"/>
      <c r="AG95" s="42"/>
      <c r="AH95" s="42"/>
      <c r="AI95" s="43"/>
      <c r="AJ95" s="44"/>
      <c r="AK95" s="45"/>
      <c r="AL95" s="45"/>
      <c r="AM95" s="45"/>
      <c r="AN95" s="46"/>
      <c r="AO95" s="47"/>
      <c r="AP95" s="48"/>
      <c r="AQ95" s="48"/>
      <c r="AR95" s="48"/>
      <c r="AS95" s="48"/>
      <c r="AT95" s="49"/>
      <c r="AU95" s="50"/>
      <c r="AV95" s="51"/>
      <c r="AW95" s="51"/>
      <c r="AX95" s="52"/>
      <c r="AY95" s="53"/>
      <c r="AZ95" s="80"/>
      <c r="BA95" s="54"/>
      <c r="BB95" s="55"/>
      <c r="BC95" s="55" t="s">
        <v>87</v>
      </c>
      <c r="BD95" s="55" t="s">
        <v>87</v>
      </c>
      <c r="BE95" s="55" t="s">
        <v>87</v>
      </c>
      <c r="BF95" s="55" t="s">
        <v>87</v>
      </c>
      <c r="BG95" s="56"/>
      <c r="BH95" s="57"/>
      <c r="BI95" s="58"/>
      <c r="BJ95" s="58"/>
      <c r="BK95" s="58"/>
      <c r="BL95" s="58"/>
      <c r="BM95" s="58"/>
      <c r="BN95" s="58"/>
      <c r="BO95" s="58"/>
    </row>
    <row r="96" spans="1:67" ht="28.5" customHeight="1" x14ac:dyDescent="0.35">
      <c r="A96" s="66" t="s">
        <v>542</v>
      </c>
      <c r="B96" s="66">
        <v>86161271503</v>
      </c>
      <c r="C96" s="66" t="s">
        <v>80</v>
      </c>
      <c r="D96" s="66" t="s">
        <v>543</v>
      </c>
      <c r="E96" s="66" t="s">
        <v>139</v>
      </c>
      <c r="F96" s="66" t="s">
        <v>83</v>
      </c>
      <c r="G96" s="66">
        <v>2000</v>
      </c>
      <c r="H96" s="66" t="s">
        <v>544</v>
      </c>
      <c r="I96" s="67" t="s">
        <v>545</v>
      </c>
      <c r="J96" s="68" t="s">
        <v>546</v>
      </c>
      <c r="K96" s="68" t="s">
        <v>547</v>
      </c>
      <c r="L96" s="59"/>
      <c r="M96" s="60"/>
      <c r="N96" s="60"/>
      <c r="O96" s="60"/>
      <c r="P96" s="60"/>
      <c r="Q96" s="61"/>
      <c r="R96" s="32"/>
      <c r="S96" s="33"/>
      <c r="T96" s="33"/>
      <c r="U96" s="33"/>
      <c r="V96" s="34"/>
      <c r="W96" s="35"/>
      <c r="X96" s="36"/>
      <c r="Y96" s="36"/>
      <c r="Z96" s="36"/>
      <c r="AA96" s="37"/>
      <c r="AB96" s="38"/>
      <c r="AC96" s="39"/>
      <c r="AD96" s="40"/>
      <c r="AE96" s="41"/>
      <c r="AF96" s="42"/>
      <c r="AG96" s="42"/>
      <c r="AH96" s="42"/>
      <c r="AI96" s="43"/>
      <c r="AJ96" s="44"/>
      <c r="AK96" s="45"/>
      <c r="AL96" s="45"/>
      <c r="AM96" s="45"/>
      <c r="AN96" s="46"/>
      <c r="AO96" s="47"/>
      <c r="AP96" s="48"/>
      <c r="AQ96" s="48"/>
      <c r="AR96" s="48"/>
      <c r="AS96" s="48"/>
      <c r="AT96" s="49"/>
      <c r="AU96" s="50"/>
      <c r="AV96" s="51"/>
      <c r="AW96" s="51"/>
      <c r="AX96" s="52"/>
      <c r="AY96" s="53"/>
      <c r="AZ96" s="80"/>
      <c r="BA96" s="54"/>
      <c r="BB96" s="55"/>
      <c r="BC96" s="55"/>
      <c r="BD96" s="55"/>
      <c r="BE96" s="55"/>
      <c r="BF96" s="55"/>
      <c r="BG96" s="56"/>
      <c r="BH96" s="57" t="s">
        <v>87</v>
      </c>
      <c r="BI96" s="58" t="s">
        <v>87</v>
      </c>
      <c r="BJ96" s="58"/>
      <c r="BK96" s="58"/>
      <c r="BL96" s="58" t="s">
        <v>87</v>
      </c>
      <c r="BM96" s="58" t="s">
        <v>87</v>
      </c>
      <c r="BN96" s="58" t="s">
        <v>87</v>
      </c>
      <c r="BO96" s="58" t="s">
        <v>87</v>
      </c>
    </row>
    <row r="97" spans="1:67" ht="28.5" customHeight="1" x14ac:dyDescent="0.35">
      <c r="A97" s="66" t="s">
        <v>548</v>
      </c>
      <c r="B97" s="66">
        <v>87142679221</v>
      </c>
      <c r="C97" s="66" t="s">
        <v>80</v>
      </c>
      <c r="D97" s="66" t="s">
        <v>549</v>
      </c>
      <c r="E97" s="66" t="s">
        <v>335</v>
      </c>
      <c r="F97" s="66" t="s">
        <v>83</v>
      </c>
      <c r="G97" s="66">
        <v>2007</v>
      </c>
      <c r="H97" s="67" t="s">
        <v>550</v>
      </c>
      <c r="I97" s="67" t="s">
        <v>551</v>
      </c>
      <c r="J97" s="68" t="s">
        <v>552</v>
      </c>
      <c r="K97" s="68" t="s">
        <v>553</v>
      </c>
      <c r="L97" s="59" t="s">
        <v>87</v>
      </c>
      <c r="M97" s="60"/>
      <c r="N97" s="60" t="s">
        <v>87</v>
      </c>
      <c r="O97" s="60" t="s">
        <v>87</v>
      </c>
      <c r="P97" s="60"/>
      <c r="Q97" s="61" t="s">
        <v>87</v>
      </c>
      <c r="R97" s="32"/>
      <c r="S97" s="33"/>
      <c r="T97" s="33"/>
      <c r="U97" s="33"/>
      <c r="V97" s="34"/>
      <c r="W97" s="35"/>
      <c r="X97" s="36"/>
      <c r="Y97" s="36"/>
      <c r="Z97" s="36"/>
      <c r="AA97" s="37"/>
      <c r="AB97" s="38"/>
      <c r="AC97" s="39"/>
      <c r="AD97" s="40"/>
      <c r="AE97" s="41"/>
      <c r="AF97" s="42"/>
      <c r="AG97" s="42"/>
      <c r="AH97" s="42"/>
      <c r="AI97" s="43"/>
      <c r="AJ97" s="44"/>
      <c r="AK97" s="45"/>
      <c r="AL97" s="45"/>
      <c r="AM97" s="45" t="s">
        <v>87</v>
      </c>
      <c r="AN97" s="46"/>
      <c r="AO97" s="47"/>
      <c r="AP97" s="48"/>
      <c r="AQ97" s="48" t="s">
        <v>87</v>
      </c>
      <c r="AR97" s="48"/>
      <c r="AS97" s="48" t="s">
        <v>87</v>
      </c>
      <c r="AT97" s="49"/>
      <c r="AU97" s="50"/>
      <c r="AV97" s="51"/>
      <c r="AW97" s="51"/>
      <c r="AX97" s="52"/>
      <c r="AY97" s="53"/>
      <c r="AZ97" s="80"/>
      <c r="BA97" s="54"/>
      <c r="BB97" s="55"/>
      <c r="BC97" s="55"/>
      <c r="BD97" s="55"/>
      <c r="BE97" s="55"/>
      <c r="BF97" s="55"/>
      <c r="BG97" s="56"/>
      <c r="BH97" s="57"/>
      <c r="BI97" s="58"/>
      <c r="BJ97" s="58"/>
      <c r="BK97" s="58"/>
      <c r="BL97" s="58"/>
      <c r="BM97" s="58"/>
      <c r="BN97" s="58"/>
      <c r="BO97" s="58"/>
    </row>
    <row r="98" spans="1:67" ht="28.5" customHeight="1" x14ac:dyDescent="0.35">
      <c r="A98" s="66" t="s">
        <v>554</v>
      </c>
      <c r="B98" s="66">
        <v>47601561424</v>
      </c>
      <c r="C98" s="66" t="s">
        <v>80</v>
      </c>
      <c r="D98" s="66" t="s">
        <v>555</v>
      </c>
      <c r="E98" s="66" t="s">
        <v>466</v>
      </c>
      <c r="F98" s="66" t="s">
        <v>83</v>
      </c>
      <c r="G98" s="66" t="str">
        <f>"2061"</f>
        <v>2061</v>
      </c>
      <c r="H98" s="66"/>
      <c r="I98" s="66" t="str">
        <f>"02 9246 0775"</f>
        <v>02 9246 0775</v>
      </c>
      <c r="J98" s="68" t="s">
        <v>556</v>
      </c>
      <c r="K98" s="68" t="s">
        <v>557</v>
      </c>
      <c r="L98" s="59"/>
      <c r="M98" s="60"/>
      <c r="N98" s="60"/>
      <c r="O98" s="60"/>
      <c r="P98" s="60"/>
      <c r="Q98" s="61"/>
      <c r="R98" s="32"/>
      <c r="S98" s="33"/>
      <c r="T98" s="33"/>
      <c r="U98" s="33"/>
      <c r="V98" s="34"/>
      <c r="W98" s="35"/>
      <c r="X98" s="36"/>
      <c r="Y98" s="36"/>
      <c r="Z98" s="36"/>
      <c r="AA98" s="37"/>
      <c r="AB98" s="38"/>
      <c r="AC98" s="39"/>
      <c r="AD98" s="40"/>
      <c r="AE98" s="41"/>
      <c r="AF98" s="42"/>
      <c r="AG98" s="42"/>
      <c r="AH98" s="42"/>
      <c r="AI98" s="43"/>
      <c r="AJ98" s="44"/>
      <c r="AK98" s="45"/>
      <c r="AL98" s="45"/>
      <c r="AM98" s="45"/>
      <c r="AN98" s="46"/>
      <c r="AO98" s="47"/>
      <c r="AP98" s="48"/>
      <c r="AQ98" s="48"/>
      <c r="AR98" s="48"/>
      <c r="AS98" s="48"/>
      <c r="AT98" s="49"/>
      <c r="AU98" s="50"/>
      <c r="AV98" s="51"/>
      <c r="AW98" s="51"/>
      <c r="AX98" s="52"/>
      <c r="AY98" s="53"/>
      <c r="AZ98" s="80"/>
      <c r="BA98" s="54"/>
      <c r="BB98" s="55"/>
      <c r="BC98" s="55"/>
      <c r="BD98" s="55"/>
      <c r="BE98" s="55"/>
      <c r="BF98" s="55"/>
      <c r="BG98" s="56"/>
      <c r="BH98" s="57"/>
      <c r="BI98" s="58" t="s">
        <v>87</v>
      </c>
      <c r="BJ98" s="58" t="s">
        <v>87</v>
      </c>
      <c r="BK98" s="58" t="s">
        <v>87</v>
      </c>
      <c r="BL98" s="58"/>
      <c r="BM98" s="58"/>
      <c r="BN98" s="58" t="s">
        <v>87</v>
      </c>
      <c r="BO98" s="58" t="s">
        <v>87</v>
      </c>
    </row>
    <row r="99" spans="1:67" ht="28.5" customHeight="1" x14ac:dyDescent="0.35">
      <c r="A99" s="69" t="s">
        <v>558</v>
      </c>
      <c r="B99" s="69">
        <v>20164933486</v>
      </c>
      <c r="C99" s="69" t="s">
        <v>80</v>
      </c>
      <c r="D99" s="69" t="s">
        <v>559</v>
      </c>
      <c r="E99" s="69" t="s">
        <v>132</v>
      </c>
      <c r="F99" s="69" t="s">
        <v>83</v>
      </c>
      <c r="G99" s="69">
        <v>2011</v>
      </c>
      <c r="H99" s="69"/>
      <c r="I99" s="71" t="s">
        <v>560</v>
      </c>
      <c r="J99" s="70" t="s">
        <v>561</v>
      </c>
      <c r="K99" s="70" t="s">
        <v>562</v>
      </c>
      <c r="L99" s="59"/>
      <c r="M99" s="60"/>
      <c r="N99" s="60"/>
      <c r="O99" s="60"/>
      <c r="P99" s="60"/>
      <c r="Q99" s="61"/>
      <c r="R99" s="32"/>
      <c r="S99" s="33"/>
      <c r="T99" s="33"/>
      <c r="U99" s="33"/>
      <c r="V99" s="34"/>
      <c r="W99" s="35"/>
      <c r="X99" s="36"/>
      <c r="Y99" s="36"/>
      <c r="Z99" s="36"/>
      <c r="AA99" s="37"/>
      <c r="AB99" s="38"/>
      <c r="AC99" s="39"/>
      <c r="AD99" s="40"/>
      <c r="AE99" s="41"/>
      <c r="AF99" s="42"/>
      <c r="AG99" s="42"/>
      <c r="AH99" s="42"/>
      <c r="AI99" s="43"/>
      <c r="AJ99" s="44"/>
      <c r="AK99" s="45"/>
      <c r="AL99" s="45"/>
      <c r="AM99" s="45"/>
      <c r="AN99" s="46"/>
      <c r="AO99" s="47"/>
      <c r="AP99" s="48"/>
      <c r="AQ99" s="48"/>
      <c r="AR99" s="48"/>
      <c r="AS99" s="48"/>
      <c r="AT99" s="49"/>
      <c r="AU99" s="50"/>
      <c r="AV99" s="51"/>
      <c r="AW99" s="51"/>
      <c r="AX99" s="52"/>
      <c r="AY99" s="53"/>
      <c r="AZ99" s="80"/>
      <c r="BA99" s="54"/>
      <c r="BB99" s="55"/>
      <c r="BC99" s="55"/>
      <c r="BD99" s="55"/>
      <c r="BE99" s="55"/>
      <c r="BF99" s="55"/>
      <c r="BG99" s="56"/>
      <c r="BH99" s="57"/>
      <c r="BI99" s="58" t="s">
        <v>87</v>
      </c>
      <c r="BJ99" s="58"/>
      <c r="BK99" s="58"/>
      <c r="BL99" s="58" t="s">
        <v>87</v>
      </c>
      <c r="BM99" s="58" t="s">
        <v>87</v>
      </c>
      <c r="BN99" s="58" t="s">
        <v>87</v>
      </c>
      <c r="BO99" s="58" t="s">
        <v>87</v>
      </c>
    </row>
    <row r="100" spans="1:67" ht="28.5" customHeight="1" x14ac:dyDescent="0.35">
      <c r="A100" s="66" t="s">
        <v>563</v>
      </c>
      <c r="B100" s="66">
        <v>96603400317</v>
      </c>
      <c r="C100" s="66" t="s">
        <v>80</v>
      </c>
      <c r="D100" s="66" t="s">
        <v>564</v>
      </c>
      <c r="E100" s="66" t="s">
        <v>565</v>
      </c>
      <c r="F100" s="66" t="s">
        <v>83</v>
      </c>
      <c r="G100" s="66" t="str">
        <f>"2289"</f>
        <v>2289</v>
      </c>
      <c r="H100" s="66"/>
      <c r="I100" s="66" t="str">
        <f>"0499688068"</f>
        <v>0499688068</v>
      </c>
      <c r="J100" s="68" t="s">
        <v>566</v>
      </c>
      <c r="K100" s="68" t="s">
        <v>567</v>
      </c>
      <c r="L100" s="59"/>
      <c r="M100" s="60"/>
      <c r="N100" s="60"/>
      <c r="O100" s="60"/>
      <c r="P100" s="60"/>
      <c r="Q100" s="61"/>
      <c r="R100" s="32"/>
      <c r="S100" s="33"/>
      <c r="T100" s="33"/>
      <c r="U100" s="33"/>
      <c r="V100" s="34"/>
      <c r="W100" s="35"/>
      <c r="X100" s="36"/>
      <c r="Y100" s="36"/>
      <c r="Z100" s="36"/>
      <c r="AA100" s="37"/>
      <c r="AB100" s="38"/>
      <c r="AC100" s="39"/>
      <c r="AD100" s="40"/>
      <c r="AE100" s="41"/>
      <c r="AF100" s="42"/>
      <c r="AG100" s="42"/>
      <c r="AH100" s="42"/>
      <c r="AI100" s="43"/>
      <c r="AJ100" s="44"/>
      <c r="AK100" s="45"/>
      <c r="AL100" s="45"/>
      <c r="AM100" s="45"/>
      <c r="AN100" s="46"/>
      <c r="AO100" s="47"/>
      <c r="AP100" s="48"/>
      <c r="AQ100" s="48"/>
      <c r="AR100" s="48"/>
      <c r="AS100" s="48"/>
      <c r="AT100" s="49"/>
      <c r="AU100" s="50" t="s">
        <v>87</v>
      </c>
      <c r="AV100" s="51" t="s">
        <v>87</v>
      </c>
      <c r="AW100" s="51" t="s">
        <v>87</v>
      </c>
      <c r="AX100" s="52"/>
      <c r="AY100" s="53"/>
      <c r="AZ100" s="80"/>
      <c r="BA100" s="54"/>
      <c r="BB100" s="55"/>
      <c r="BC100" s="55"/>
      <c r="BD100" s="55"/>
      <c r="BE100" s="55"/>
      <c r="BF100" s="55"/>
      <c r="BG100" s="56"/>
      <c r="BH100" s="57" t="s">
        <v>87</v>
      </c>
      <c r="BI100" s="58" t="s">
        <v>87</v>
      </c>
      <c r="BJ100" s="58"/>
      <c r="BK100" s="58"/>
      <c r="BL100" s="58"/>
      <c r="BM100" s="58"/>
      <c r="BN100" s="58"/>
      <c r="BO100" s="58"/>
    </row>
    <row r="101" spans="1:67" ht="28.5" customHeight="1" x14ac:dyDescent="0.35">
      <c r="A101" s="66" t="s">
        <v>568</v>
      </c>
      <c r="B101" s="66">
        <v>56124587364</v>
      </c>
      <c r="C101" s="66" t="s">
        <v>80</v>
      </c>
      <c r="D101" s="66" t="s">
        <v>569</v>
      </c>
      <c r="E101" s="66" t="s">
        <v>570</v>
      </c>
      <c r="F101" s="66" t="s">
        <v>83</v>
      </c>
      <c r="G101" s="66" t="str">
        <f>"2007"</f>
        <v>2007</v>
      </c>
      <c r="H101" s="66" t="str">
        <f>"02 8580 0419"</f>
        <v>02 8580 0419</v>
      </c>
      <c r="I101" s="67" t="s">
        <v>571</v>
      </c>
      <c r="J101" s="68" t="s">
        <v>572</v>
      </c>
      <c r="K101" s="68" t="s">
        <v>573</v>
      </c>
      <c r="L101" s="59"/>
      <c r="M101" s="60"/>
      <c r="N101" s="60"/>
      <c r="O101" s="60"/>
      <c r="P101" s="60"/>
      <c r="Q101" s="61"/>
      <c r="R101" s="32" t="s">
        <v>87</v>
      </c>
      <c r="S101" s="33" t="s">
        <v>87</v>
      </c>
      <c r="T101" s="33" t="s">
        <v>87</v>
      </c>
      <c r="U101" s="33" t="s">
        <v>87</v>
      </c>
      <c r="V101" s="34" t="s">
        <v>87</v>
      </c>
      <c r="W101" s="35" t="s">
        <v>87</v>
      </c>
      <c r="X101" s="36" t="s">
        <v>87</v>
      </c>
      <c r="Y101" s="36" t="s">
        <v>87</v>
      </c>
      <c r="Z101" s="36"/>
      <c r="AA101" s="37" t="s">
        <v>87</v>
      </c>
      <c r="AB101" s="38"/>
      <c r="AC101" s="39"/>
      <c r="AD101" s="40"/>
      <c r="AE101" s="41"/>
      <c r="AF101" s="42"/>
      <c r="AG101" s="42"/>
      <c r="AH101" s="42"/>
      <c r="AI101" s="43"/>
      <c r="AJ101" s="44"/>
      <c r="AK101" s="45"/>
      <c r="AL101" s="45"/>
      <c r="AM101" s="45"/>
      <c r="AN101" s="46"/>
      <c r="AO101" s="47"/>
      <c r="AP101" s="48"/>
      <c r="AQ101" s="48"/>
      <c r="AR101" s="48"/>
      <c r="AS101" s="48"/>
      <c r="AT101" s="49"/>
      <c r="AU101" s="50" t="s">
        <v>87</v>
      </c>
      <c r="AV101" s="51" t="s">
        <v>87</v>
      </c>
      <c r="AW101" s="51" t="s">
        <v>87</v>
      </c>
      <c r="AX101" s="52" t="s">
        <v>87</v>
      </c>
      <c r="AY101" s="53"/>
      <c r="AZ101" s="80"/>
      <c r="BA101" s="54"/>
      <c r="BB101" s="55"/>
      <c r="BC101" s="55"/>
      <c r="BD101" s="55"/>
      <c r="BE101" s="55"/>
      <c r="BF101" s="55"/>
      <c r="BG101" s="56"/>
      <c r="BH101" s="57"/>
      <c r="BI101" s="58"/>
      <c r="BJ101" s="58"/>
      <c r="BK101" s="58"/>
      <c r="BL101" s="58"/>
      <c r="BM101" s="58"/>
      <c r="BN101" s="58"/>
      <c r="BO101" s="58"/>
    </row>
    <row r="102" spans="1:67" ht="28.5" customHeight="1" x14ac:dyDescent="0.35">
      <c r="A102" s="66" t="s">
        <v>574</v>
      </c>
      <c r="B102" s="66">
        <v>87073263457</v>
      </c>
      <c r="C102" s="66" t="s">
        <v>80</v>
      </c>
      <c r="D102" s="66" t="s">
        <v>575</v>
      </c>
      <c r="E102" s="66" t="s">
        <v>132</v>
      </c>
      <c r="F102" s="66" t="s">
        <v>83</v>
      </c>
      <c r="G102" s="66" t="str">
        <f>"2038"</f>
        <v>2038</v>
      </c>
      <c r="H102" s="66" t="str">
        <f>"02 9557 8122"</f>
        <v>02 9557 8122</v>
      </c>
      <c r="I102" s="66" t="str">
        <f>""</f>
        <v/>
      </c>
      <c r="J102" s="68" t="s">
        <v>576</v>
      </c>
      <c r="K102" s="68" t="s">
        <v>577</v>
      </c>
      <c r="L102" s="59"/>
      <c r="M102" s="60"/>
      <c r="N102" s="60"/>
      <c r="O102" s="60"/>
      <c r="P102" s="60"/>
      <c r="Q102" s="61"/>
      <c r="R102" s="32" t="s">
        <v>87</v>
      </c>
      <c r="S102" s="33"/>
      <c r="T102" s="33" t="s">
        <v>87</v>
      </c>
      <c r="U102" s="33"/>
      <c r="V102" s="34"/>
      <c r="W102" s="35" t="s">
        <v>87</v>
      </c>
      <c r="X102" s="36" t="s">
        <v>87</v>
      </c>
      <c r="Y102" s="36"/>
      <c r="Z102" s="36"/>
      <c r="AA102" s="37" t="s">
        <v>87</v>
      </c>
      <c r="AB102" s="38"/>
      <c r="AC102" s="39"/>
      <c r="AD102" s="40"/>
      <c r="AE102" s="41"/>
      <c r="AF102" s="42"/>
      <c r="AG102" s="42"/>
      <c r="AH102" s="42"/>
      <c r="AI102" s="43"/>
      <c r="AJ102" s="44"/>
      <c r="AK102" s="45"/>
      <c r="AL102" s="45"/>
      <c r="AM102" s="45"/>
      <c r="AN102" s="46"/>
      <c r="AO102" s="47"/>
      <c r="AP102" s="48"/>
      <c r="AQ102" s="48"/>
      <c r="AR102" s="48"/>
      <c r="AS102" s="48"/>
      <c r="AT102" s="49"/>
      <c r="AU102" s="50" t="s">
        <v>87</v>
      </c>
      <c r="AV102" s="51" t="s">
        <v>87</v>
      </c>
      <c r="AW102" s="51" t="s">
        <v>87</v>
      </c>
      <c r="AX102" s="52"/>
      <c r="AY102" s="53"/>
      <c r="AZ102" s="80"/>
      <c r="BA102" s="54"/>
      <c r="BB102" s="55"/>
      <c r="BC102" s="55"/>
      <c r="BD102" s="55"/>
      <c r="BE102" s="55"/>
      <c r="BF102" s="55"/>
      <c r="BG102" s="56"/>
      <c r="BH102" s="57"/>
      <c r="BI102" s="58"/>
      <c r="BJ102" s="58"/>
      <c r="BK102" s="58"/>
      <c r="BL102" s="58"/>
      <c r="BM102" s="58"/>
      <c r="BN102" s="58"/>
      <c r="BO102" s="58"/>
    </row>
    <row r="103" spans="1:67" ht="28.5" customHeight="1" x14ac:dyDescent="0.35">
      <c r="A103" s="66" t="s">
        <v>578</v>
      </c>
      <c r="B103" s="66">
        <v>83602134298</v>
      </c>
      <c r="C103" s="66" t="s">
        <v>80</v>
      </c>
      <c r="D103" s="66" t="s">
        <v>579</v>
      </c>
      <c r="E103" s="66" t="s">
        <v>580</v>
      </c>
      <c r="F103" s="66" t="s">
        <v>83</v>
      </c>
      <c r="G103" s="66" t="str">
        <f>"2008"</f>
        <v>2008</v>
      </c>
      <c r="H103" s="66"/>
      <c r="I103" s="66" t="str">
        <f>"0437478586"</f>
        <v>0437478586</v>
      </c>
      <c r="J103" s="68" t="s">
        <v>581</v>
      </c>
      <c r="K103" s="68" t="s">
        <v>582</v>
      </c>
      <c r="L103" s="59"/>
      <c r="M103" s="60"/>
      <c r="N103" s="60"/>
      <c r="O103" s="60"/>
      <c r="P103" s="60"/>
      <c r="Q103" s="61"/>
      <c r="R103" s="32" t="s">
        <v>87</v>
      </c>
      <c r="S103" s="33" t="s">
        <v>87</v>
      </c>
      <c r="T103" s="33" t="s">
        <v>87</v>
      </c>
      <c r="U103" s="33"/>
      <c r="V103" s="34" t="s">
        <v>87</v>
      </c>
      <c r="W103" s="35" t="s">
        <v>87</v>
      </c>
      <c r="X103" s="36" t="s">
        <v>87</v>
      </c>
      <c r="Y103" s="36"/>
      <c r="Z103" s="36"/>
      <c r="AA103" s="37"/>
      <c r="AB103" s="38"/>
      <c r="AC103" s="39"/>
      <c r="AD103" s="40"/>
      <c r="AE103" s="41"/>
      <c r="AF103" s="42"/>
      <c r="AG103" s="42"/>
      <c r="AH103" s="42"/>
      <c r="AI103" s="43"/>
      <c r="AJ103" s="44"/>
      <c r="AK103" s="45"/>
      <c r="AL103" s="45"/>
      <c r="AM103" s="45"/>
      <c r="AN103" s="46"/>
      <c r="AO103" s="47"/>
      <c r="AP103" s="48"/>
      <c r="AQ103" s="48"/>
      <c r="AR103" s="48"/>
      <c r="AS103" s="48"/>
      <c r="AT103" s="49"/>
      <c r="AU103" s="50" t="s">
        <v>87</v>
      </c>
      <c r="AV103" s="51" t="s">
        <v>87</v>
      </c>
      <c r="AW103" s="51" t="s">
        <v>87</v>
      </c>
      <c r="AX103" s="52" t="s">
        <v>87</v>
      </c>
      <c r="AY103" s="53" t="s">
        <v>87</v>
      </c>
      <c r="AZ103" s="80" t="s">
        <v>87</v>
      </c>
      <c r="BA103" s="54"/>
      <c r="BB103" s="55"/>
      <c r="BC103" s="55"/>
      <c r="BD103" s="55"/>
      <c r="BE103" s="55"/>
      <c r="BF103" s="55"/>
      <c r="BG103" s="56"/>
      <c r="BH103" s="57"/>
      <c r="BI103" s="58"/>
      <c r="BJ103" s="58"/>
      <c r="BK103" s="58"/>
      <c r="BL103" s="58"/>
      <c r="BM103" s="58"/>
      <c r="BN103" s="58"/>
      <c r="BO103" s="58"/>
    </row>
    <row r="104" spans="1:67" ht="28.5" customHeight="1" x14ac:dyDescent="0.35">
      <c r="A104" s="66" t="s">
        <v>583</v>
      </c>
      <c r="B104" s="66">
        <v>76601904616</v>
      </c>
      <c r="C104" s="66" t="s">
        <v>80</v>
      </c>
      <c r="D104" s="66" t="s">
        <v>584</v>
      </c>
      <c r="E104" s="66" t="s">
        <v>132</v>
      </c>
      <c r="F104" s="66" t="s">
        <v>83</v>
      </c>
      <c r="G104" s="66" t="str">
        <f>"2010"</f>
        <v>2010</v>
      </c>
      <c r="H104" s="66"/>
      <c r="I104" s="66" t="str">
        <f>"0405308496"</f>
        <v>0405308496</v>
      </c>
      <c r="J104" s="68" t="s">
        <v>585</v>
      </c>
      <c r="K104" s="68" t="s">
        <v>586</v>
      </c>
      <c r="L104" s="59"/>
      <c r="M104" s="60"/>
      <c r="N104" s="60"/>
      <c r="O104" s="60"/>
      <c r="P104" s="60"/>
      <c r="Q104" s="61"/>
      <c r="R104" s="32"/>
      <c r="S104" s="33"/>
      <c r="T104" s="33"/>
      <c r="U104" s="33"/>
      <c r="V104" s="34"/>
      <c r="W104" s="35" t="s">
        <v>87</v>
      </c>
      <c r="X104" s="36" t="s">
        <v>87</v>
      </c>
      <c r="Y104" s="36"/>
      <c r="Z104" s="36"/>
      <c r="AA104" s="37"/>
      <c r="AB104" s="38"/>
      <c r="AC104" s="39"/>
      <c r="AD104" s="40"/>
      <c r="AE104" s="41"/>
      <c r="AF104" s="42"/>
      <c r="AG104" s="42"/>
      <c r="AH104" s="42"/>
      <c r="AI104" s="43"/>
      <c r="AJ104" s="44"/>
      <c r="AK104" s="45"/>
      <c r="AL104" s="45"/>
      <c r="AM104" s="45"/>
      <c r="AN104" s="46"/>
      <c r="AO104" s="47"/>
      <c r="AP104" s="48"/>
      <c r="AQ104" s="48"/>
      <c r="AR104" s="48"/>
      <c r="AS104" s="48"/>
      <c r="AT104" s="49"/>
      <c r="AU104" s="50"/>
      <c r="AV104" s="51"/>
      <c r="AW104" s="51"/>
      <c r="AX104" s="52"/>
      <c r="AY104" s="53"/>
      <c r="AZ104" s="80"/>
      <c r="BA104" s="54"/>
      <c r="BB104" s="55"/>
      <c r="BC104" s="55"/>
      <c r="BD104" s="55"/>
      <c r="BE104" s="55"/>
      <c r="BF104" s="55"/>
      <c r="BG104" s="56"/>
      <c r="BH104" s="57" t="s">
        <v>87</v>
      </c>
      <c r="BI104" s="58" t="s">
        <v>87</v>
      </c>
      <c r="BJ104" s="58" t="s">
        <v>87</v>
      </c>
      <c r="BK104" s="58" t="s">
        <v>87</v>
      </c>
      <c r="BL104" s="58" t="s">
        <v>87</v>
      </c>
      <c r="BM104" s="58" t="s">
        <v>87</v>
      </c>
      <c r="BN104" s="58" t="s">
        <v>87</v>
      </c>
      <c r="BO104" s="58" t="s">
        <v>87</v>
      </c>
    </row>
    <row r="105" spans="1:67" ht="28.5" customHeight="1" x14ac:dyDescent="0.35">
      <c r="A105" s="66" t="s">
        <v>587</v>
      </c>
      <c r="B105" s="66">
        <v>82112851742</v>
      </c>
      <c r="C105" s="66" t="s">
        <v>80</v>
      </c>
      <c r="D105" s="66" t="s">
        <v>588</v>
      </c>
      <c r="E105" s="66" t="s">
        <v>90</v>
      </c>
      <c r="F105" s="66" t="s">
        <v>83</v>
      </c>
      <c r="G105" s="66" t="str">
        <f>"2010"</f>
        <v>2010</v>
      </c>
      <c r="H105" s="66" t="str">
        <f>"02 8116 9033"</f>
        <v>02 8116 9033</v>
      </c>
      <c r="I105" s="67" t="s">
        <v>589</v>
      </c>
      <c r="J105" s="68" t="s">
        <v>590</v>
      </c>
      <c r="K105" s="68" t="s">
        <v>591</v>
      </c>
      <c r="L105" s="59"/>
      <c r="M105" s="60"/>
      <c r="N105" s="60"/>
      <c r="O105" s="60"/>
      <c r="P105" s="60"/>
      <c r="Q105" s="61"/>
      <c r="R105" s="32"/>
      <c r="S105" s="33"/>
      <c r="T105" s="33"/>
      <c r="U105" s="33"/>
      <c r="V105" s="34"/>
      <c r="W105" s="35"/>
      <c r="X105" s="36"/>
      <c r="Y105" s="36"/>
      <c r="Z105" s="36"/>
      <c r="AA105" s="37"/>
      <c r="AB105" s="38"/>
      <c r="AC105" s="39"/>
      <c r="AD105" s="40"/>
      <c r="AE105" s="41"/>
      <c r="AF105" s="42"/>
      <c r="AG105" s="42"/>
      <c r="AH105" s="42"/>
      <c r="AI105" s="43"/>
      <c r="AJ105" s="44"/>
      <c r="AK105" s="45"/>
      <c r="AL105" s="45"/>
      <c r="AM105" s="45"/>
      <c r="AN105" s="46"/>
      <c r="AO105" s="47"/>
      <c r="AP105" s="48"/>
      <c r="AQ105" s="48"/>
      <c r="AR105" s="48"/>
      <c r="AS105" s="48"/>
      <c r="AT105" s="49"/>
      <c r="AU105" s="50" t="s">
        <v>87</v>
      </c>
      <c r="AV105" s="51" t="s">
        <v>87</v>
      </c>
      <c r="AW105" s="51" t="s">
        <v>87</v>
      </c>
      <c r="AX105" s="52" t="s">
        <v>87</v>
      </c>
      <c r="AY105" s="53"/>
      <c r="AZ105" s="80"/>
      <c r="BA105" s="54"/>
      <c r="BB105" s="55"/>
      <c r="BC105" s="55"/>
      <c r="BD105" s="55" t="s">
        <v>87</v>
      </c>
      <c r="BE105" s="55"/>
      <c r="BF105" s="55" t="s">
        <v>87</v>
      </c>
      <c r="BG105" s="56" t="s">
        <v>87</v>
      </c>
      <c r="BH105" s="57"/>
      <c r="BI105" s="58"/>
      <c r="BJ105" s="58"/>
      <c r="BK105" s="58"/>
      <c r="BL105" s="58"/>
      <c r="BM105" s="58"/>
      <c r="BN105" s="58"/>
      <c r="BO105" s="58"/>
    </row>
    <row r="106" spans="1:67" ht="28.5" customHeight="1" x14ac:dyDescent="0.35">
      <c r="A106" s="66" t="s">
        <v>592</v>
      </c>
      <c r="B106" s="66">
        <v>33098672596</v>
      </c>
      <c r="C106" s="66" t="s">
        <v>80</v>
      </c>
      <c r="D106" s="66" t="s">
        <v>593</v>
      </c>
      <c r="E106" s="66" t="s">
        <v>594</v>
      </c>
      <c r="F106" s="66" t="s">
        <v>83</v>
      </c>
      <c r="G106" s="66" t="str">
        <f>"2000"</f>
        <v>2000</v>
      </c>
      <c r="H106" s="66" t="str">
        <f>"02 9087 1266"</f>
        <v>02 9087 1266</v>
      </c>
      <c r="I106" s="66" t="str">
        <f>"0414925870"</f>
        <v>0414925870</v>
      </c>
      <c r="J106" s="68" t="s">
        <v>595</v>
      </c>
      <c r="K106" s="68" t="s">
        <v>596</v>
      </c>
      <c r="L106" s="59" t="s">
        <v>87</v>
      </c>
      <c r="M106" s="60" t="s">
        <v>87</v>
      </c>
      <c r="N106" s="60" t="s">
        <v>87</v>
      </c>
      <c r="O106" s="60" t="s">
        <v>87</v>
      </c>
      <c r="P106" s="60" t="s">
        <v>87</v>
      </c>
      <c r="Q106" s="61" t="s">
        <v>87</v>
      </c>
      <c r="R106" s="32" t="s">
        <v>87</v>
      </c>
      <c r="S106" s="33" t="s">
        <v>87</v>
      </c>
      <c r="T106" s="33" t="s">
        <v>87</v>
      </c>
      <c r="U106" s="33" t="s">
        <v>87</v>
      </c>
      <c r="V106" s="34" t="s">
        <v>87</v>
      </c>
      <c r="W106" s="35" t="s">
        <v>87</v>
      </c>
      <c r="X106" s="36" t="s">
        <v>87</v>
      </c>
      <c r="Y106" s="36" t="s">
        <v>87</v>
      </c>
      <c r="Z106" s="36" t="s">
        <v>87</v>
      </c>
      <c r="AA106" s="37" t="s">
        <v>87</v>
      </c>
      <c r="AB106" s="38"/>
      <c r="AC106" s="39"/>
      <c r="AD106" s="40"/>
      <c r="AE106" s="41"/>
      <c r="AF106" s="42"/>
      <c r="AG106" s="42"/>
      <c r="AH106" s="42"/>
      <c r="AI106" s="43"/>
      <c r="AJ106" s="44"/>
      <c r="AK106" s="45"/>
      <c r="AL106" s="45"/>
      <c r="AM106" s="45"/>
      <c r="AN106" s="46"/>
      <c r="AO106" s="47"/>
      <c r="AP106" s="48"/>
      <c r="AQ106" s="48"/>
      <c r="AR106" s="48"/>
      <c r="AS106" s="48"/>
      <c r="AT106" s="49"/>
      <c r="AU106" s="50"/>
      <c r="AV106" s="51"/>
      <c r="AW106" s="51"/>
      <c r="AX106" s="52"/>
      <c r="AY106" s="53"/>
      <c r="AZ106" s="80"/>
      <c r="BA106" s="54"/>
      <c r="BB106" s="55"/>
      <c r="BC106" s="55"/>
      <c r="BD106" s="55"/>
      <c r="BE106" s="55"/>
      <c r="BF106" s="55"/>
      <c r="BG106" s="56"/>
      <c r="BH106" s="57" t="s">
        <v>87</v>
      </c>
      <c r="BI106" s="58" t="s">
        <v>87</v>
      </c>
      <c r="BJ106" s="58" t="s">
        <v>87</v>
      </c>
      <c r="BK106" s="58" t="s">
        <v>87</v>
      </c>
      <c r="BL106" s="58" t="s">
        <v>87</v>
      </c>
      <c r="BM106" s="58" t="s">
        <v>87</v>
      </c>
      <c r="BN106" s="58" t="s">
        <v>87</v>
      </c>
      <c r="BO106" s="58" t="s">
        <v>87</v>
      </c>
    </row>
    <row r="107" spans="1:67" ht="28.5" customHeight="1" x14ac:dyDescent="0.35">
      <c r="A107" s="66" t="s">
        <v>597</v>
      </c>
      <c r="B107" s="66">
        <v>94143802706</v>
      </c>
      <c r="C107" s="66" t="s">
        <v>80</v>
      </c>
      <c r="D107" s="66" t="s">
        <v>598</v>
      </c>
      <c r="E107" s="66" t="s">
        <v>599</v>
      </c>
      <c r="F107" s="66" t="s">
        <v>83</v>
      </c>
      <c r="G107" s="66">
        <v>2010</v>
      </c>
      <c r="H107" s="67" t="s">
        <v>600</v>
      </c>
      <c r="I107" s="67" t="s">
        <v>601</v>
      </c>
      <c r="J107" s="68" t="s">
        <v>602</v>
      </c>
      <c r="K107" s="68" t="s">
        <v>603</v>
      </c>
      <c r="L107" s="59"/>
      <c r="M107" s="60"/>
      <c r="N107" s="60"/>
      <c r="O107" s="60"/>
      <c r="P107" s="60"/>
      <c r="Q107" s="61"/>
      <c r="R107" s="32"/>
      <c r="S107" s="33"/>
      <c r="T107" s="33"/>
      <c r="U107" s="33"/>
      <c r="V107" s="34"/>
      <c r="W107" s="35"/>
      <c r="X107" s="36"/>
      <c r="Y107" s="36"/>
      <c r="Z107" s="36"/>
      <c r="AA107" s="37"/>
      <c r="AB107" s="38"/>
      <c r="AC107" s="39"/>
      <c r="AD107" s="40"/>
      <c r="AE107" s="41"/>
      <c r="AF107" s="42"/>
      <c r="AG107" s="42"/>
      <c r="AH107" s="42"/>
      <c r="AI107" s="43"/>
      <c r="AJ107" s="44"/>
      <c r="AK107" s="45"/>
      <c r="AL107" s="45"/>
      <c r="AM107" s="45"/>
      <c r="AN107" s="46"/>
      <c r="AO107" s="47"/>
      <c r="AP107" s="48"/>
      <c r="AQ107" s="48"/>
      <c r="AR107" s="48"/>
      <c r="AS107" s="48"/>
      <c r="AT107" s="49"/>
      <c r="AU107" s="50"/>
      <c r="AV107" s="51"/>
      <c r="AW107" s="51"/>
      <c r="AX107" s="52"/>
      <c r="AY107" s="53"/>
      <c r="AZ107" s="80"/>
      <c r="BA107" s="54"/>
      <c r="BB107" s="55"/>
      <c r="BC107" s="55"/>
      <c r="BD107" s="55"/>
      <c r="BE107" s="55"/>
      <c r="BF107" s="55"/>
      <c r="BG107" s="56"/>
      <c r="BH107" s="57" t="s">
        <v>87</v>
      </c>
      <c r="BI107" s="58" t="s">
        <v>87</v>
      </c>
      <c r="BJ107" s="58"/>
      <c r="BK107" s="58"/>
      <c r="BL107" s="58"/>
      <c r="BM107" s="58"/>
      <c r="BN107" s="58" t="s">
        <v>87</v>
      </c>
      <c r="BO107" s="58" t="s">
        <v>87</v>
      </c>
    </row>
    <row r="108" spans="1:67" ht="28.5" customHeight="1" x14ac:dyDescent="0.35">
      <c r="A108" s="66" t="s">
        <v>604</v>
      </c>
      <c r="B108" s="66">
        <v>13287659174</v>
      </c>
      <c r="C108" s="66" t="s">
        <v>80</v>
      </c>
      <c r="D108" s="66" t="s">
        <v>605</v>
      </c>
      <c r="E108" s="66" t="s">
        <v>139</v>
      </c>
      <c r="F108" s="66" t="s">
        <v>83</v>
      </c>
      <c r="G108" s="66" t="str">
        <f>"2640"</f>
        <v>2640</v>
      </c>
      <c r="H108" s="66"/>
      <c r="I108" s="66" t="str">
        <f>"0447648692"</f>
        <v>0447648692</v>
      </c>
      <c r="J108" s="68" t="s">
        <v>606</v>
      </c>
      <c r="K108" s="68" t="s">
        <v>607</v>
      </c>
      <c r="L108" s="59"/>
      <c r="M108" s="60"/>
      <c r="N108" s="60"/>
      <c r="O108" s="60"/>
      <c r="P108" s="60"/>
      <c r="Q108" s="61"/>
      <c r="R108" s="32"/>
      <c r="S108" s="33"/>
      <c r="T108" s="33"/>
      <c r="U108" s="33"/>
      <c r="V108" s="34"/>
      <c r="W108" s="35"/>
      <c r="X108" s="36"/>
      <c r="Y108" s="36"/>
      <c r="Z108" s="36"/>
      <c r="AA108" s="37"/>
      <c r="AB108" s="38"/>
      <c r="AC108" s="39"/>
      <c r="AD108" s="40"/>
      <c r="AE108" s="41"/>
      <c r="AF108" s="42"/>
      <c r="AG108" s="42"/>
      <c r="AH108" s="42"/>
      <c r="AI108" s="43"/>
      <c r="AJ108" s="44"/>
      <c r="AK108" s="45"/>
      <c r="AL108" s="45"/>
      <c r="AM108" s="45"/>
      <c r="AN108" s="46"/>
      <c r="AO108" s="47"/>
      <c r="AP108" s="48"/>
      <c r="AQ108" s="48"/>
      <c r="AR108" s="48"/>
      <c r="AS108" s="48"/>
      <c r="AT108" s="49"/>
      <c r="AU108" s="50" t="s">
        <v>87</v>
      </c>
      <c r="AV108" s="51" t="s">
        <v>87</v>
      </c>
      <c r="AW108" s="51" t="s">
        <v>87</v>
      </c>
      <c r="AX108" s="52" t="s">
        <v>87</v>
      </c>
      <c r="AY108" s="53"/>
      <c r="AZ108" s="80"/>
      <c r="BA108" s="54"/>
      <c r="BB108" s="55"/>
      <c r="BC108" s="55"/>
      <c r="BD108" s="55"/>
      <c r="BE108" s="55"/>
      <c r="BF108" s="55"/>
      <c r="BG108" s="56"/>
      <c r="BH108" s="57"/>
      <c r="BI108" s="58"/>
      <c r="BJ108" s="58"/>
      <c r="BK108" s="58"/>
      <c r="BL108" s="58"/>
      <c r="BM108" s="58"/>
      <c r="BN108" s="58"/>
      <c r="BO108" s="58"/>
    </row>
    <row r="109" spans="1:67" ht="28.5" customHeight="1" x14ac:dyDescent="0.35">
      <c r="A109" s="66" t="s">
        <v>608</v>
      </c>
      <c r="B109" s="66">
        <v>53653683428</v>
      </c>
      <c r="C109" s="66" t="s">
        <v>80</v>
      </c>
      <c r="D109" s="66" t="s">
        <v>609</v>
      </c>
      <c r="E109" s="66" t="s">
        <v>90</v>
      </c>
      <c r="F109" s="66" t="s">
        <v>83</v>
      </c>
      <c r="G109" s="66" t="str">
        <f>"2515"</f>
        <v>2515</v>
      </c>
      <c r="H109" s="67" t="s">
        <v>610</v>
      </c>
      <c r="I109" s="66" t="str">
        <f>"0401310635"</f>
        <v>0401310635</v>
      </c>
      <c r="J109" s="68" t="s">
        <v>611</v>
      </c>
      <c r="K109" s="68" t="s">
        <v>612</v>
      </c>
      <c r="L109" s="59"/>
      <c r="M109" s="60"/>
      <c r="N109" s="60"/>
      <c r="O109" s="60"/>
      <c r="P109" s="60"/>
      <c r="Q109" s="61"/>
      <c r="R109" s="32"/>
      <c r="S109" s="33"/>
      <c r="T109" s="33"/>
      <c r="U109" s="33"/>
      <c r="V109" s="34"/>
      <c r="W109" s="35"/>
      <c r="X109" s="36"/>
      <c r="Y109" s="36"/>
      <c r="Z109" s="36"/>
      <c r="AA109" s="37"/>
      <c r="AB109" s="38"/>
      <c r="AC109" s="39"/>
      <c r="AD109" s="40"/>
      <c r="AE109" s="41"/>
      <c r="AF109" s="42"/>
      <c r="AG109" s="42"/>
      <c r="AH109" s="42"/>
      <c r="AI109" s="43"/>
      <c r="AJ109" s="44"/>
      <c r="AK109" s="45"/>
      <c r="AL109" s="45"/>
      <c r="AM109" s="45"/>
      <c r="AN109" s="46"/>
      <c r="AO109" s="47"/>
      <c r="AP109" s="48"/>
      <c r="AQ109" s="48"/>
      <c r="AR109" s="48"/>
      <c r="AS109" s="48"/>
      <c r="AT109" s="49"/>
      <c r="AU109" s="50"/>
      <c r="AV109" s="51"/>
      <c r="AW109" s="51"/>
      <c r="AX109" s="52"/>
      <c r="AY109" s="53"/>
      <c r="AZ109" s="80"/>
      <c r="BA109" s="54"/>
      <c r="BB109" s="55"/>
      <c r="BC109" s="55"/>
      <c r="BD109" s="55"/>
      <c r="BE109" s="55"/>
      <c r="BF109" s="55"/>
      <c r="BG109" s="56"/>
      <c r="BH109" s="57" t="s">
        <v>87</v>
      </c>
      <c r="BI109" s="58" t="s">
        <v>87</v>
      </c>
      <c r="BJ109" s="58" t="s">
        <v>87</v>
      </c>
      <c r="BK109" s="58" t="s">
        <v>87</v>
      </c>
      <c r="BL109" s="58" t="s">
        <v>87</v>
      </c>
      <c r="BM109" s="58" t="s">
        <v>87</v>
      </c>
      <c r="BN109" s="58" t="s">
        <v>87</v>
      </c>
      <c r="BO109" s="58" t="s">
        <v>87</v>
      </c>
    </row>
    <row r="110" spans="1:67" ht="28.5" customHeight="1" x14ac:dyDescent="0.35">
      <c r="A110" s="66" t="s">
        <v>613</v>
      </c>
      <c r="B110" s="66">
        <v>15131355907</v>
      </c>
      <c r="C110" s="66" t="s">
        <v>80</v>
      </c>
      <c r="D110" s="66" t="s">
        <v>614</v>
      </c>
      <c r="E110" s="66" t="s">
        <v>90</v>
      </c>
      <c r="F110" s="66" t="s">
        <v>83</v>
      </c>
      <c r="G110" s="66">
        <v>2010</v>
      </c>
      <c r="H110" s="66" t="s">
        <v>615</v>
      </c>
      <c r="I110" s="67" t="s">
        <v>616</v>
      </c>
      <c r="J110" s="68" t="s">
        <v>617</v>
      </c>
      <c r="K110" s="68" t="s">
        <v>618</v>
      </c>
      <c r="L110" s="59"/>
      <c r="M110" s="60"/>
      <c r="N110" s="60"/>
      <c r="O110" s="60"/>
      <c r="P110" s="60"/>
      <c r="Q110" s="61"/>
      <c r="R110" s="32"/>
      <c r="S110" s="33"/>
      <c r="T110" s="33" t="s">
        <v>87</v>
      </c>
      <c r="U110" s="33"/>
      <c r="V110" s="34"/>
      <c r="W110" s="35"/>
      <c r="X110" s="36"/>
      <c r="Y110" s="36"/>
      <c r="Z110" s="36"/>
      <c r="AA110" s="37"/>
      <c r="AB110" s="38"/>
      <c r="AC110" s="39"/>
      <c r="AD110" s="40"/>
      <c r="AE110" s="41"/>
      <c r="AF110" s="42"/>
      <c r="AG110" s="42"/>
      <c r="AH110" s="42"/>
      <c r="AI110" s="43"/>
      <c r="AJ110" s="44"/>
      <c r="AK110" s="45"/>
      <c r="AL110" s="45"/>
      <c r="AM110" s="45"/>
      <c r="AN110" s="46"/>
      <c r="AO110" s="47"/>
      <c r="AP110" s="48"/>
      <c r="AQ110" s="48"/>
      <c r="AR110" s="48"/>
      <c r="AS110" s="48"/>
      <c r="AT110" s="49"/>
      <c r="AU110" s="50"/>
      <c r="AV110" s="51"/>
      <c r="AW110" s="51"/>
      <c r="AX110" s="52"/>
      <c r="AY110" s="53"/>
      <c r="AZ110" s="80"/>
      <c r="BA110" s="54"/>
      <c r="BB110" s="55" t="s">
        <v>87</v>
      </c>
      <c r="BC110" s="55" t="s">
        <v>87</v>
      </c>
      <c r="BD110" s="55" t="s">
        <v>87</v>
      </c>
      <c r="BE110" s="55" t="s">
        <v>87</v>
      </c>
      <c r="BF110" s="55" t="s">
        <v>87</v>
      </c>
      <c r="BG110" s="56" t="s">
        <v>87</v>
      </c>
      <c r="BH110" s="57"/>
      <c r="BI110" s="58"/>
      <c r="BJ110" s="58"/>
      <c r="BK110" s="58"/>
      <c r="BL110" s="58"/>
      <c r="BM110" s="58"/>
      <c r="BN110" s="58"/>
      <c r="BO110" s="58"/>
    </row>
    <row r="111" spans="1:67" ht="28.5" customHeight="1" x14ac:dyDescent="0.35">
      <c r="A111" s="66" t="s">
        <v>619</v>
      </c>
      <c r="B111" s="66">
        <v>27621318492</v>
      </c>
      <c r="C111" s="66" t="s">
        <v>80</v>
      </c>
      <c r="D111" s="66" t="s">
        <v>620</v>
      </c>
      <c r="E111" s="66" t="s">
        <v>528</v>
      </c>
      <c r="F111" s="66" t="s">
        <v>83</v>
      </c>
      <c r="G111" s="66">
        <v>2021</v>
      </c>
      <c r="H111" s="67"/>
      <c r="I111" s="67" t="s">
        <v>621</v>
      </c>
      <c r="J111" s="68" t="s">
        <v>622</v>
      </c>
      <c r="K111" s="68" t="s">
        <v>623</v>
      </c>
      <c r="L111" s="59"/>
      <c r="M111" s="60"/>
      <c r="N111" s="60"/>
      <c r="O111" s="60"/>
      <c r="P111" s="60"/>
      <c r="Q111" s="61"/>
      <c r="R111" s="32" t="s">
        <v>87</v>
      </c>
      <c r="S111" s="33" t="s">
        <v>87</v>
      </c>
      <c r="T111" s="33" t="s">
        <v>87</v>
      </c>
      <c r="U111" s="33" t="s">
        <v>87</v>
      </c>
      <c r="V111" s="34" t="s">
        <v>87</v>
      </c>
      <c r="W111" s="35" t="s">
        <v>87</v>
      </c>
      <c r="X111" s="36" t="s">
        <v>87</v>
      </c>
      <c r="Y111" s="36"/>
      <c r="Z111" s="36" t="s">
        <v>87</v>
      </c>
      <c r="AA111" s="37" t="s">
        <v>87</v>
      </c>
      <c r="AB111" s="38"/>
      <c r="AC111" s="39"/>
      <c r="AD111" s="40"/>
      <c r="AE111" s="41" t="s">
        <v>87</v>
      </c>
      <c r="AF111" s="42" t="s">
        <v>87</v>
      </c>
      <c r="AG111" s="42" t="s">
        <v>87</v>
      </c>
      <c r="AH111" s="42" t="s">
        <v>87</v>
      </c>
      <c r="AI111" s="43" t="s">
        <v>87</v>
      </c>
      <c r="AJ111" s="44"/>
      <c r="AK111" s="45"/>
      <c r="AL111" s="45"/>
      <c r="AM111" s="45"/>
      <c r="AN111" s="46"/>
      <c r="AO111" s="47"/>
      <c r="AP111" s="48"/>
      <c r="AQ111" s="48"/>
      <c r="AR111" s="48"/>
      <c r="AS111" s="48"/>
      <c r="AT111" s="49"/>
      <c r="AU111" s="50"/>
      <c r="AV111" s="51"/>
      <c r="AW111" s="51"/>
      <c r="AX111" s="52"/>
      <c r="AY111" s="53"/>
      <c r="AZ111" s="80"/>
      <c r="BA111" s="54"/>
      <c r="BB111" s="55"/>
      <c r="BC111" s="55"/>
      <c r="BD111" s="55"/>
      <c r="BE111" s="55"/>
      <c r="BF111" s="55"/>
      <c r="BG111" s="56"/>
      <c r="BH111" s="57"/>
      <c r="BI111" s="58"/>
      <c r="BJ111" s="58"/>
      <c r="BK111" s="58"/>
      <c r="BL111" s="58"/>
      <c r="BM111" s="58"/>
      <c r="BN111" s="58"/>
      <c r="BO111" s="58"/>
    </row>
    <row r="112" spans="1:67" ht="28.5" customHeight="1" x14ac:dyDescent="0.35">
      <c r="A112" s="69" t="s">
        <v>624</v>
      </c>
      <c r="B112" s="69">
        <v>63605367324</v>
      </c>
      <c r="C112" s="69" t="s">
        <v>80</v>
      </c>
      <c r="D112" s="69" t="s">
        <v>625</v>
      </c>
      <c r="E112" s="69" t="s">
        <v>90</v>
      </c>
      <c r="F112" s="69" t="s">
        <v>83</v>
      </c>
      <c r="G112" s="69">
        <v>2300</v>
      </c>
      <c r="H112" s="69"/>
      <c r="I112" s="71" t="s">
        <v>626</v>
      </c>
      <c r="J112" s="70" t="s">
        <v>627</v>
      </c>
      <c r="K112" s="70" t="s">
        <v>628</v>
      </c>
      <c r="L112" s="59" t="s">
        <v>87</v>
      </c>
      <c r="M112" s="60" t="s">
        <v>87</v>
      </c>
      <c r="N112" s="60" t="s">
        <v>87</v>
      </c>
      <c r="O112" s="60" t="s">
        <v>87</v>
      </c>
      <c r="P112" s="60" t="s">
        <v>87</v>
      </c>
      <c r="Q112" s="61" t="s">
        <v>87</v>
      </c>
      <c r="R112" s="32" t="s">
        <v>87</v>
      </c>
      <c r="S112" s="33" t="s">
        <v>87</v>
      </c>
      <c r="T112" s="33" t="s">
        <v>87</v>
      </c>
      <c r="U112" s="33" t="s">
        <v>87</v>
      </c>
      <c r="V112" s="34" t="s">
        <v>87</v>
      </c>
      <c r="W112" s="35" t="s">
        <v>87</v>
      </c>
      <c r="X112" s="36" t="s">
        <v>87</v>
      </c>
      <c r="Y112" s="36"/>
      <c r="Z112" s="36"/>
      <c r="AA112" s="37" t="s">
        <v>87</v>
      </c>
      <c r="AB112" s="38"/>
      <c r="AC112" s="39"/>
      <c r="AD112" s="40"/>
      <c r="AE112" s="41"/>
      <c r="AF112" s="42"/>
      <c r="AG112" s="42"/>
      <c r="AH112" s="42"/>
      <c r="AI112" s="43"/>
      <c r="AJ112" s="44"/>
      <c r="AK112" s="45"/>
      <c r="AL112" s="45"/>
      <c r="AM112" s="45"/>
      <c r="AN112" s="46"/>
      <c r="AO112" s="47"/>
      <c r="AP112" s="48"/>
      <c r="AQ112" s="48"/>
      <c r="AR112" s="48"/>
      <c r="AS112" s="48"/>
      <c r="AT112" s="49"/>
      <c r="AU112" s="50"/>
      <c r="AV112" s="51"/>
      <c r="AW112" s="51"/>
      <c r="AX112" s="52"/>
      <c r="AY112" s="53"/>
      <c r="AZ112" s="80"/>
      <c r="BA112" s="54"/>
      <c r="BB112" s="55"/>
      <c r="BC112" s="55"/>
      <c r="BD112" s="55"/>
      <c r="BE112" s="55"/>
      <c r="BF112" s="55"/>
      <c r="BG112" s="56"/>
      <c r="BH112" s="57"/>
      <c r="BI112" s="58"/>
      <c r="BJ112" s="58"/>
      <c r="BK112" s="58"/>
      <c r="BL112" s="58"/>
      <c r="BM112" s="58"/>
      <c r="BN112" s="58"/>
      <c r="BO112" s="58"/>
    </row>
    <row r="113" spans="1:67" ht="28.5" customHeight="1" x14ac:dyDescent="0.35">
      <c r="A113" s="66" t="s">
        <v>629</v>
      </c>
      <c r="B113" s="66">
        <v>81163692662</v>
      </c>
      <c r="C113" s="66" t="s">
        <v>80</v>
      </c>
      <c r="D113" s="66" t="s">
        <v>630</v>
      </c>
      <c r="E113" s="66" t="s">
        <v>631</v>
      </c>
      <c r="F113" s="66" t="s">
        <v>83</v>
      </c>
      <c r="G113" s="66">
        <v>2010</v>
      </c>
      <c r="H113" s="66" t="s">
        <v>632</v>
      </c>
      <c r="I113" s="67" t="s">
        <v>633</v>
      </c>
      <c r="J113" s="68" t="s">
        <v>634</v>
      </c>
      <c r="K113" s="68" t="s">
        <v>635</v>
      </c>
      <c r="L113" s="59"/>
      <c r="M113" s="60"/>
      <c r="N113" s="60"/>
      <c r="O113" s="60"/>
      <c r="P113" s="60"/>
      <c r="Q113" s="61"/>
      <c r="R113" s="32"/>
      <c r="S113" s="33"/>
      <c r="T113" s="33"/>
      <c r="U113" s="33"/>
      <c r="V113" s="34"/>
      <c r="W113" s="35"/>
      <c r="X113" s="36"/>
      <c r="Y113" s="36"/>
      <c r="Z113" s="36"/>
      <c r="AA113" s="37"/>
      <c r="AB113" s="38"/>
      <c r="AC113" s="39"/>
      <c r="AD113" s="40"/>
      <c r="AE113" s="41"/>
      <c r="AF113" s="42"/>
      <c r="AG113" s="42"/>
      <c r="AH113" s="42"/>
      <c r="AI113" s="43"/>
      <c r="AJ113" s="44"/>
      <c r="AK113" s="45"/>
      <c r="AL113" s="45"/>
      <c r="AM113" s="45"/>
      <c r="AN113" s="46"/>
      <c r="AO113" s="47"/>
      <c r="AP113" s="48"/>
      <c r="AQ113" s="48"/>
      <c r="AR113" s="48"/>
      <c r="AS113" s="48"/>
      <c r="AT113" s="49"/>
      <c r="AU113" s="50"/>
      <c r="AV113" s="51"/>
      <c r="AW113" s="51"/>
      <c r="AX113" s="52"/>
      <c r="AY113" s="53"/>
      <c r="AZ113" s="80"/>
      <c r="BA113" s="54"/>
      <c r="BB113" s="55"/>
      <c r="BC113" s="55"/>
      <c r="BD113" s="55"/>
      <c r="BE113" s="55"/>
      <c r="BF113" s="55"/>
      <c r="BG113" s="56"/>
      <c r="BH113" s="57" t="s">
        <v>87</v>
      </c>
      <c r="BI113" s="58" t="s">
        <v>87</v>
      </c>
      <c r="BJ113" s="58"/>
      <c r="BK113" s="58"/>
      <c r="BL113" s="58" t="s">
        <v>87</v>
      </c>
      <c r="BM113" s="58"/>
      <c r="BN113" s="58" t="s">
        <v>87</v>
      </c>
      <c r="BO113" s="58" t="s">
        <v>87</v>
      </c>
    </row>
    <row r="114" spans="1:67" ht="28.5" customHeight="1" x14ac:dyDescent="0.35">
      <c r="A114" s="66" t="s">
        <v>636</v>
      </c>
      <c r="B114" s="66">
        <v>71133454485</v>
      </c>
      <c r="C114" s="66" t="s">
        <v>80</v>
      </c>
      <c r="D114" s="66" t="s">
        <v>637</v>
      </c>
      <c r="E114" s="66" t="s">
        <v>132</v>
      </c>
      <c r="F114" s="66" t="s">
        <v>83</v>
      </c>
      <c r="G114" s="66" t="str">
        <f>"3205"</f>
        <v>3205</v>
      </c>
      <c r="H114" s="66" t="str">
        <f>"03 9245 9245"</f>
        <v>03 9245 9245</v>
      </c>
      <c r="I114" s="66" t="str">
        <f>"0417334399"</f>
        <v>0417334399</v>
      </c>
      <c r="J114" s="68" t="s">
        <v>638</v>
      </c>
      <c r="K114" s="68" t="s">
        <v>639</v>
      </c>
      <c r="L114" s="59"/>
      <c r="M114" s="60"/>
      <c r="N114" s="60"/>
      <c r="O114" s="60"/>
      <c r="P114" s="60"/>
      <c r="Q114" s="61"/>
      <c r="R114" s="32"/>
      <c r="S114" s="33"/>
      <c r="T114" s="33"/>
      <c r="U114" s="33"/>
      <c r="V114" s="34"/>
      <c r="W114" s="35"/>
      <c r="X114" s="36"/>
      <c r="Y114" s="36"/>
      <c r="Z114" s="36"/>
      <c r="AA114" s="37" t="s">
        <v>87</v>
      </c>
      <c r="AB114" s="38"/>
      <c r="AC114" s="39"/>
      <c r="AD114" s="40"/>
      <c r="AE114" s="41"/>
      <c r="AF114" s="42"/>
      <c r="AG114" s="42"/>
      <c r="AH114" s="42"/>
      <c r="AI114" s="43"/>
      <c r="AJ114" s="44"/>
      <c r="AK114" s="45"/>
      <c r="AL114" s="45"/>
      <c r="AM114" s="45"/>
      <c r="AN114" s="46"/>
      <c r="AO114" s="47"/>
      <c r="AP114" s="48"/>
      <c r="AQ114" s="48"/>
      <c r="AR114" s="48"/>
      <c r="AS114" s="48"/>
      <c r="AT114" s="49"/>
      <c r="AU114" s="50"/>
      <c r="AV114" s="51"/>
      <c r="AW114" s="51"/>
      <c r="AX114" s="52"/>
      <c r="AY114" s="53"/>
      <c r="AZ114" s="80"/>
      <c r="BA114" s="54"/>
      <c r="BB114" s="55"/>
      <c r="BC114" s="55"/>
      <c r="BD114" s="55"/>
      <c r="BE114" s="55"/>
      <c r="BF114" s="55"/>
      <c r="BG114" s="56"/>
      <c r="BH114" s="57"/>
      <c r="BI114" s="58"/>
      <c r="BJ114" s="58"/>
      <c r="BK114" s="58"/>
      <c r="BL114" s="58"/>
      <c r="BM114" s="58"/>
      <c r="BN114" s="58"/>
      <c r="BO114" s="58"/>
    </row>
    <row r="115" spans="1:67" ht="28.5" customHeight="1" x14ac:dyDescent="0.35">
      <c r="A115" s="66" t="s">
        <v>640</v>
      </c>
      <c r="B115" s="66">
        <v>41003694791</v>
      </c>
      <c r="C115" s="66" t="s">
        <v>80</v>
      </c>
      <c r="D115" s="66" t="s">
        <v>641</v>
      </c>
      <c r="E115" s="66" t="s">
        <v>528</v>
      </c>
      <c r="F115" s="66" t="s">
        <v>83</v>
      </c>
      <c r="G115" s="66">
        <v>2000</v>
      </c>
      <c r="H115" s="67"/>
      <c r="I115" s="67" t="s">
        <v>642</v>
      </c>
      <c r="J115" s="68" t="s">
        <v>643</v>
      </c>
      <c r="K115" s="68" t="s">
        <v>644</v>
      </c>
      <c r="L115" s="59"/>
      <c r="M115" s="60"/>
      <c r="N115" s="60"/>
      <c r="O115" s="60"/>
      <c r="P115" s="60"/>
      <c r="Q115" s="61"/>
      <c r="R115" s="32"/>
      <c r="S115" s="33"/>
      <c r="T115" s="33" t="s">
        <v>87</v>
      </c>
      <c r="U115" s="33"/>
      <c r="V115" s="34"/>
      <c r="W115" s="35"/>
      <c r="X115" s="36"/>
      <c r="Y115" s="36"/>
      <c r="Z115" s="36"/>
      <c r="AA115" s="37"/>
      <c r="AB115" s="38"/>
      <c r="AC115" s="39"/>
      <c r="AD115" s="40"/>
      <c r="AE115" s="41"/>
      <c r="AF115" s="42"/>
      <c r="AG115" s="42"/>
      <c r="AH115" s="42"/>
      <c r="AI115" s="43"/>
      <c r="AJ115" s="44"/>
      <c r="AK115" s="45"/>
      <c r="AL115" s="45"/>
      <c r="AM115" s="45"/>
      <c r="AN115" s="46"/>
      <c r="AO115" s="47"/>
      <c r="AP115" s="48"/>
      <c r="AQ115" s="48"/>
      <c r="AR115" s="48"/>
      <c r="AS115" s="48"/>
      <c r="AT115" s="49"/>
      <c r="AU115" s="50"/>
      <c r="AV115" s="51"/>
      <c r="AW115" s="51"/>
      <c r="AX115" s="52"/>
      <c r="AY115" s="53"/>
      <c r="AZ115" s="80"/>
      <c r="BA115" s="54"/>
      <c r="BB115" s="55"/>
      <c r="BC115" s="55"/>
      <c r="BD115" s="55"/>
      <c r="BE115" s="55"/>
      <c r="BF115" s="55"/>
      <c r="BG115" s="56"/>
      <c r="BH115" s="57"/>
      <c r="BI115" s="58"/>
      <c r="BJ115" s="58"/>
      <c r="BK115" s="58"/>
      <c r="BL115" s="58"/>
      <c r="BM115" s="58"/>
      <c r="BN115" s="58"/>
      <c r="BO115" s="58"/>
    </row>
    <row r="116" spans="1:67" ht="28.5" customHeight="1" x14ac:dyDescent="0.35">
      <c r="A116" s="66" t="s">
        <v>645</v>
      </c>
      <c r="B116" s="66">
        <v>84241858723</v>
      </c>
      <c r="C116" s="66" t="s">
        <v>80</v>
      </c>
      <c r="D116" s="66" t="s">
        <v>646</v>
      </c>
      <c r="E116" s="66" t="s">
        <v>132</v>
      </c>
      <c r="F116" s="66" t="s">
        <v>83</v>
      </c>
      <c r="G116" s="66">
        <v>2000</v>
      </c>
      <c r="H116" s="66" t="s">
        <v>647</v>
      </c>
      <c r="I116" s="67" t="s">
        <v>648</v>
      </c>
      <c r="J116" s="68" t="s">
        <v>649</v>
      </c>
      <c r="K116" s="68" t="s">
        <v>650</v>
      </c>
      <c r="L116" s="59"/>
      <c r="M116" s="60"/>
      <c r="N116" s="60"/>
      <c r="O116" s="60"/>
      <c r="P116" s="60"/>
      <c r="Q116" s="61"/>
      <c r="R116" s="32"/>
      <c r="S116" s="33"/>
      <c r="T116" s="33"/>
      <c r="U116" s="33"/>
      <c r="V116" s="34"/>
      <c r="W116" s="35"/>
      <c r="X116" s="36"/>
      <c r="Y116" s="36"/>
      <c r="Z116" s="36"/>
      <c r="AA116" s="37"/>
      <c r="AB116" s="38"/>
      <c r="AC116" s="39"/>
      <c r="AD116" s="40"/>
      <c r="AE116" s="41"/>
      <c r="AF116" s="42"/>
      <c r="AG116" s="42"/>
      <c r="AH116" s="42"/>
      <c r="AI116" s="43"/>
      <c r="AJ116" s="44"/>
      <c r="AK116" s="45"/>
      <c r="AL116" s="45"/>
      <c r="AM116" s="45"/>
      <c r="AN116" s="46"/>
      <c r="AO116" s="47"/>
      <c r="AP116" s="48"/>
      <c r="AQ116" s="48"/>
      <c r="AR116" s="48"/>
      <c r="AS116" s="48"/>
      <c r="AT116" s="49"/>
      <c r="AU116" s="50" t="s">
        <v>87</v>
      </c>
      <c r="AV116" s="51" t="s">
        <v>87</v>
      </c>
      <c r="AW116" s="51" t="s">
        <v>87</v>
      </c>
      <c r="AX116" s="52" t="s">
        <v>87</v>
      </c>
      <c r="AY116" s="53"/>
      <c r="AZ116" s="80"/>
      <c r="BA116" s="54"/>
      <c r="BB116" s="55"/>
      <c r="BC116" s="55"/>
      <c r="BD116" s="55"/>
      <c r="BE116" s="55"/>
      <c r="BF116" s="55"/>
      <c r="BG116" s="56"/>
      <c r="BH116" s="57"/>
      <c r="BI116" s="58" t="s">
        <v>87</v>
      </c>
      <c r="BJ116" s="58"/>
      <c r="BK116" s="58"/>
      <c r="BL116" s="58"/>
      <c r="BM116" s="58" t="s">
        <v>87</v>
      </c>
      <c r="BN116" s="58" t="s">
        <v>87</v>
      </c>
      <c r="BO116" s="58" t="s">
        <v>87</v>
      </c>
    </row>
    <row r="117" spans="1:67" ht="28.5" customHeight="1" x14ac:dyDescent="0.35">
      <c r="A117" s="66" t="s">
        <v>651</v>
      </c>
      <c r="B117" s="66">
        <v>15154664052</v>
      </c>
      <c r="C117" s="66" t="s">
        <v>80</v>
      </c>
      <c r="D117" s="66" t="s">
        <v>652</v>
      </c>
      <c r="E117" s="66" t="s">
        <v>132</v>
      </c>
      <c r="F117" s="66" t="s">
        <v>83</v>
      </c>
      <c r="G117" s="66">
        <v>2010</v>
      </c>
      <c r="H117" s="66" t="s">
        <v>653</v>
      </c>
      <c r="I117" s="67" t="s">
        <v>654</v>
      </c>
      <c r="J117" s="68" t="s">
        <v>655</v>
      </c>
      <c r="K117" s="68" t="s">
        <v>656</v>
      </c>
      <c r="L117" s="59"/>
      <c r="M117" s="60"/>
      <c r="N117" s="60"/>
      <c r="O117" s="60"/>
      <c r="P117" s="60"/>
      <c r="Q117" s="61"/>
      <c r="R117" s="32"/>
      <c r="S117" s="33"/>
      <c r="T117" s="33"/>
      <c r="U117" s="33"/>
      <c r="V117" s="34"/>
      <c r="W117" s="35"/>
      <c r="X117" s="36"/>
      <c r="Y117" s="36"/>
      <c r="Z117" s="36"/>
      <c r="AA117" s="37"/>
      <c r="AB117" s="38"/>
      <c r="AC117" s="39"/>
      <c r="AD117" s="40"/>
      <c r="AE117" s="41" t="s">
        <v>87</v>
      </c>
      <c r="AF117" s="42" t="s">
        <v>87</v>
      </c>
      <c r="AG117" s="42" t="s">
        <v>87</v>
      </c>
      <c r="AH117" s="42" t="s">
        <v>87</v>
      </c>
      <c r="AI117" s="43" t="s">
        <v>87</v>
      </c>
      <c r="AJ117" s="44"/>
      <c r="AK117" s="45"/>
      <c r="AL117" s="45"/>
      <c r="AM117" s="45"/>
      <c r="AN117" s="46"/>
      <c r="AO117" s="47"/>
      <c r="AP117" s="48"/>
      <c r="AQ117" s="48"/>
      <c r="AR117" s="48"/>
      <c r="AS117" s="48"/>
      <c r="AT117" s="49"/>
      <c r="AU117" s="50"/>
      <c r="AV117" s="51"/>
      <c r="AW117" s="51"/>
      <c r="AX117" s="52"/>
      <c r="AY117" s="53"/>
      <c r="AZ117" s="80"/>
      <c r="BA117" s="54"/>
      <c r="BB117" s="55"/>
      <c r="BC117" s="55"/>
      <c r="BD117" s="55"/>
      <c r="BE117" s="55"/>
      <c r="BF117" s="55"/>
      <c r="BG117" s="56"/>
      <c r="BH117" s="57"/>
      <c r="BI117" s="58"/>
      <c r="BJ117" s="58"/>
      <c r="BK117" s="58"/>
      <c r="BL117" s="58"/>
      <c r="BM117" s="58"/>
      <c r="BN117" s="58"/>
      <c r="BO117" s="58"/>
    </row>
    <row r="118" spans="1:67" ht="28.5" customHeight="1" x14ac:dyDescent="0.35">
      <c r="A118" s="66" t="s">
        <v>657</v>
      </c>
      <c r="B118" s="66">
        <v>65097285124</v>
      </c>
      <c r="C118" s="66" t="s">
        <v>80</v>
      </c>
      <c r="D118" s="66" t="s">
        <v>658</v>
      </c>
      <c r="E118" s="66" t="s">
        <v>90</v>
      </c>
      <c r="F118" s="66" t="s">
        <v>83</v>
      </c>
      <c r="G118" s="66" t="str">
        <f>"2153"</f>
        <v>2153</v>
      </c>
      <c r="H118" s="66" t="str">
        <f>"1300 887 062"</f>
        <v>1300 887 062</v>
      </c>
      <c r="I118" s="66" t="str">
        <f>"0438324436"</f>
        <v>0438324436</v>
      </c>
      <c r="J118" s="68" t="s">
        <v>659</v>
      </c>
      <c r="K118" s="68" t="s">
        <v>660</v>
      </c>
      <c r="L118" s="59"/>
      <c r="M118" s="60"/>
      <c r="N118" s="60"/>
      <c r="O118" s="60"/>
      <c r="P118" s="60"/>
      <c r="Q118" s="61"/>
      <c r="R118" s="32"/>
      <c r="S118" s="33"/>
      <c r="T118" s="33" t="s">
        <v>87</v>
      </c>
      <c r="U118" s="33"/>
      <c r="V118" s="34"/>
      <c r="W118" s="35"/>
      <c r="X118" s="36"/>
      <c r="Y118" s="36"/>
      <c r="Z118" s="36"/>
      <c r="AA118" s="37"/>
      <c r="AB118" s="38"/>
      <c r="AC118" s="39"/>
      <c r="AD118" s="40"/>
      <c r="AE118" s="41"/>
      <c r="AF118" s="42"/>
      <c r="AG118" s="42"/>
      <c r="AH118" s="42"/>
      <c r="AI118" s="43"/>
      <c r="AJ118" s="44"/>
      <c r="AK118" s="45"/>
      <c r="AL118" s="45"/>
      <c r="AM118" s="45"/>
      <c r="AN118" s="46"/>
      <c r="AO118" s="47"/>
      <c r="AP118" s="48"/>
      <c r="AQ118" s="48"/>
      <c r="AR118" s="48"/>
      <c r="AS118" s="48"/>
      <c r="AT118" s="49"/>
      <c r="AU118" s="50" t="s">
        <v>87</v>
      </c>
      <c r="AV118" s="51" t="s">
        <v>87</v>
      </c>
      <c r="AW118" s="51" t="s">
        <v>87</v>
      </c>
      <c r="AX118" s="52" t="s">
        <v>87</v>
      </c>
      <c r="AY118" s="53"/>
      <c r="AZ118" s="80"/>
      <c r="BA118" s="54"/>
      <c r="BB118" s="55"/>
      <c r="BC118" s="55"/>
      <c r="BD118" s="55"/>
      <c r="BE118" s="55"/>
      <c r="BF118" s="55"/>
      <c r="BG118" s="56"/>
      <c r="BH118" s="57"/>
      <c r="BI118" s="58"/>
      <c r="BJ118" s="58"/>
      <c r="BK118" s="58"/>
      <c r="BL118" s="58"/>
      <c r="BM118" s="58"/>
      <c r="BN118" s="58"/>
      <c r="BO118" s="58"/>
    </row>
    <row r="119" spans="1:67" ht="28.5" customHeight="1" x14ac:dyDescent="0.35">
      <c r="A119" s="66" t="s">
        <v>661</v>
      </c>
      <c r="B119" s="66">
        <v>43956296359</v>
      </c>
      <c r="C119" s="66" t="s">
        <v>80</v>
      </c>
      <c r="D119" s="66" t="s">
        <v>662</v>
      </c>
      <c r="E119" s="66" t="s">
        <v>90</v>
      </c>
      <c r="F119" s="66" t="s">
        <v>83</v>
      </c>
      <c r="G119" s="66" t="str">
        <f>"2073"</f>
        <v>2073</v>
      </c>
      <c r="H119" s="66"/>
      <c r="I119" s="66" t="str">
        <f>"0428986681"</f>
        <v>0428986681</v>
      </c>
      <c r="J119" s="68" t="s">
        <v>663</v>
      </c>
      <c r="K119" s="68" t="s">
        <v>664</v>
      </c>
      <c r="L119" s="59"/>
      <c r="M119" s="60"/>
      <c r="N119" s="60"/>
      <c r="O119" s="60"/>
      <c r="P119" s="60"/>
      <c r="Q119" s="61"/>
      <c r="R119" s="32"/>
      <c r="S119" s="33"/>
      <c r="T119" s="33"/>
      <c r="U119" s="33"/>
      <c r="V119" s="34"/>
      <c r="W119" s="35"/>
      <c r="X119" s="36"/>
      <c r="Y119" s="36"/>
      <c r="Z119" s="36"/>
      <c r="AA119" s="37"/>
      <c r="AB119" s="38"/>
      <c r="AC119" s="39"/>
      <c r="AD119" s="40"/>
      <c r="AE119" s="41"/>
      <c r="AF119" s="42"/>
      <c r="AG119" s="42"/>
      <c r="AH119" s="42"/>
      <c r="AI119" s="43"/>
      <c r="AJ119" s="44"/>
      <c r="AK119" s="45"/>
      <c r="AL119" s="45"/>
      <c r="AM119" s="45"/>
      <c r="AN119" s="46"/>
      <c r="AO119" s="47"/>
      <c r="AP119" s="48"/>
      <c r="AQ119" s="48"/>
      <c r="AR119" s="48"/>
      <c r="AS119" s="48"/>
      <c r="AT119" s="49"/>
      <c r="AU119" s="50"/>
      <c r="AV119" s="51"/>
      <c r="AW119" s="51"/>
      <c r="AX119" s="52"/>
      <c r="AY119" s="53"/>
      <c r="AZ119" s="80"/>
      <c r="BA119" s="54"/>
      <c r="BB119" s="55"/>
      <c r="BC119" s="55"/>
      <c r="BD119" s="55"/>
      <c r="BE119" s="55"/>
      <c r="BF119" s="55"/>
      <c r="BG119" s="56"/>
      <c r="BH119" s="57" t="s">
        <v>87</v>
      </c>
      <c r="BI119" s="58" t="s">
        <v>87</v>
      </c>
      <c r="BJ119" s="58" t="s">
        <v>87</v>
      </c>
      <c r="BK119" s="58" t="s">
        <v>87</v>
      </c>
      <c r="BL119" s="58"/>
      <c r="BM119" s="58"/>
      <c r="BN119" s="58" t="s">
        <v>87</v>
      </c>
      <c r="BO119" s="58" t="s">
        <v>87</v>
      </c>
    </row>
    <row r="120" spans="1:67" ht="28.5" customHeight="1" x14ac:dyDescent="0.35">
      <c r="A120" s="69" t="s">
        <v>665</v>
      </c>
      <c r="B120" s="69">
        <v>84127983895</v>
      </c>
      <c r="C120" s="69" t="s">
        <v>80</v>
      </c>
      <c r="D120" s="69" t="s">
        <v>666</v>
      </c>
      <c r="E120" s="69" t="s">
        <v>449</v>
      </c>
      <c r="F120" s="69" t="s">
        <v>83</v>
      </c>
      <c r="G120" s="69">
        <v>2026</v>
      </c>
      <c r="H120" s="69"/>
      <c r="I120" s="67" t="s">
        <v>667</v>
      </c>
      <c r="J120" s="70" t="s">
        <v>668</v>
      </c>
      <c r="K120" s="70" t="s">
        <v>669</v>
      </c>
      <c r="L120" s="59" t="s">
        <v>87</v>
      </c>
      <c r="M120" s="60" t="s">
        <v>87</v>
      </c>
      <c r="N120" s="60" t="s">
        <v>87</v>
      </c>
      <c r="O120" s="60" t="s">
        <v>87</v>
      </c>
      <c r="P120" s="60" t="s">
        <v>87</v>
      </c>
      <c r="Q120" s="61" t="s">
        <v>87</v>
      </c>
      <c r="R120" s="32"/>
      <c r="S120" s="33"/>
      <c r="T120" s="33"/>
      <c r="U120" s="33"/>
      <c r="V120" s="34"/>
      <c r="W120" s="35"/>
      <c r="X120" s="36"/>
      <c r="Y120" s="36"/>
      <c r="Z120" s="36"/>
      <c r="AA120" s="37"/>
      <c r="AB120" s="38"/>
      <c r="AC120" s="39"/>
      <c r="AD120" s="40"/>
      <c r="AE120" s="41"/>
      <c r="AF120" s="42"/>
      <c r="AG120" s="42"/>
      <c r="AH120" s="42"/>
      <c r="AI120" s="43"/>
      <c r="AJ120" s="44"/>
      <c r="AK120" s="45"/>
      <c r="AL120" s="45"/>
      <c r="AM120" s="45"/>
      <c r="AN120" s="46"/>
      <c r="AO120" s="47"/>
      <c r="AP120" s="48"/>
      <c r="AQ120" s="48"/>
      <c r="AR120" s="48"/>
      <c r="AS120" s="48"/>
      <c r="AT120" s="49"/>
      <c r="AU120" s="50"/>
      <c r="AV120" s="51"/>
      <c r="AW120" s="51"/>
      <c r="AX120" s="52"/>
      <c r="AY120" s="53"/>
      <c r="AZ120" s="80"/>
      <c r="BA120" s="54"/>
      <c r="BB120" s="55"/>
      <c r="BC120" s="55"/>
      <c r="BD120" s="55"/>
      <c r="BE120" s="55"/>
      <c r="BF120" s="55"/>
      <c r="BG120" s="56"/>
      <c r="BH120" s="57"/>
      <c r="BI120" s="58"/>
      <c r="BJ120" s="58"/>
      <c r="BK120" s="58"/>
      <c r="BL120" s="58"/>
      <c r="BM120" s="58"/>
      <c r="BN120" s="58"/>
      <c r="BO120" s="58"/>
    </row>
    <row r="121" spans="1:67" ht="28.5" customHeight="1" x14ac:dyDescent="0.35">
      <c r="A121" s="66" t="s">
        <v>670</v>
      </c>
      <c r="B121" s="66">
        <v>59066881374</v>
      </c>
      <c r="C121" s="66" t="s">
        <v>80</v>
      </c>
      <c r="D121" s="66" t="s">
        <v>671</v>
      </c>
      <c r="E121" s="66" t="s">
        <v>90</v>
      </c>
      <c r="F121" s="66" t="s">
        <v>83</v>
      </c>
      <c r="G121" s="66">
        <v>2009</v>
      </c>
      <c r="H121" s="66" t="s">
        <v>672</v>
      </c>
      <c r="I121" s="67" t="s">
        <v>673</v>
      </c>
      <c r="J121" s="68" t="s">
        <v>674</v>
      </c>
      <c r="K121" s="68" t="s">
        <v>675</v>
      </c>
      <c r="L121" s="59"/>
      <c r="M121" s="60"/>
      <c r="N121" s="60"/>
      <c r="O121" s="60"/>
      <c r="P121" s="60"/>
      <c r="Q121" s="61"/>
      <c r="R121" s="32"/>
      <c r="S121" s="33" t="s">
        <v>87</v>
      </c>
      <c r="T121" s="33"/>
      <c r="U121" s="33" t="s">
        <v>87</v>
      </c>
      <c r="V121" s="34"/>
      <c r="W121" s="35" t="s">
        <v>87</v>
      </c>
      <c r="X121" s="36" t="s">
        <v>87</v>
      </c>
      <c r="Y121" s="36"/>
      <c r="Z121" s="36"/>
      <c r="AA121" s="37" t="s">
        <v>87</v>
      </c>
      <c r="AB121" s="38" t="s">
        <v>87</v>
      </c>
      <c r="AC121" s="39" t="s">
        <v>87</v>
      </c>
      <c r="AD121" s="40" t="s">
        <v>87</v>
      </c>
      <c r="AE121" s="41"/>
      <c r="AF121" s="42"/>
      <c r="AG121" s="42"/>
      <c r="AH121" s="42"/>
      <c r="AI121" s="43"/>
      <c r="AJ121" s="44"/>
      <c r="AK121" s="45"/>
      <c r="AL121" s="45"/>
      <c r="AM121" s="45"/>
      <c r="AN121" s="46"/>
      <c r="AO121" s="47"/>
      <c r="AP121" s="48"/>
      <c r="AQ121" s="48"/>
      <c r="AR121" s="48"/>
      <c r="AS121" s="48"/>
      <c r="AT121" s="49"/>
      <c r="AU121" s="50"/>
      <c r="AV121" s="51"/>
      <c r="AW121" s="51"/>
      <c r="AX121" s="52"/>
      <c r="AY121" s="53"/>
      <c r="AZ121" s="80"/>
      <c r="BA121" s="54"/>
      <c r="BB121" s="55"/>
      <c r="BC121" s="55"/>
      <c r="BD121" s="55"/>
      <c r="BE121" s="55"/>
      <c r="BF121" s="55"/>
      <c r="BG121" s="56"/>
      <c r="BH121" s="57"/>
      <c r="BI121" s="58"/>
      <c r="BJ121" s="58"/>
      <c r="BK121" s="58"/>
      <c r="BL121" s="58"/>
      <c r="BM121" s="58"/>
      <c r="BN121" s="58"/>
      <c r="BO121" s="58"/>
    </row>
    <row r="122" spans="1:67" ht="28.5" customHeight="1" x14ac:dyDescent="0.35">
      <c r="A122" s="66" t="s">
        <v>676</v>
      </c>
      <c r="B122" s="66">
        <v>95002025569</v>
      </c>
      <c r="C122" s="66" t="s">
        <v>80</v>
      </c>
      <c r="D122" s="66" t="s">
        <v>677</v>
      </c>
      <c r="E122" s="66" t="s">
        <v>678</v>
      </c>
      <c r="F122" s="66" t="s">
        <v>83</v>
      </c>
      <c r="G122" s="66" t="str">
        <f>"2000"</f>
        <v>2000</v>
      </c>
      <c r="H122" s="66" t="str">
        <f>"02 9963 7711"</f>
        <v>02 9963 7711</v>
      </c>
      <c r="I122" s="67" t="s">
        <v>679</v>
      </c>
      <c r="J122" s="68" t="s">
        <v>680</v>
      </c>
      <c r="K122" s="68" t="s">
        <v>681</v>
      </c>
      <c r="L122" s="59" t="s">
        <v>87</v>
      </c>
      <c r="M122" s="60" t="s">
        <v>87</v>
      </c>
      <c r="N122" s="60" t="s">
        <v>87</v>
      </c>
      <c r="O122" s="60" t="s">
        <v>87</v>
      </c>
      <c r="P122" s="60" t="s">
        <v>87</v>
      </c>
      <c r="Q122" s="61" t="s">
        <v>87</v>
      </c>
      <c r="R122" s="32" t="s">
        <v>87</v>
      </c>
      <c r="S122" s="33" t="s">
        <v>87</v>
      </c>
      <c r="T122" s="33" t="s">
        <v>87</v>
      </c>
      <c r="U122" s="33" t="s">
        <v>87</v>
      </c>
      <c r="V122" s="34" t="s">
        <v>87</v>
      </c>
      <c r="W122" s="35" t="s">
        <v>87</v>
      </c>
      <c r="X122" s="36" t="s">
        <v>87</v>
      </c>
      <c r="Y122" s="36" t="s">
        <v>87</v>
      </c>
      <c r="Z122" s="36" t="s">
        <v>87</v>
      </c>
      <c r="AA122" s="37" t="s">
        <v>87</v>
      </c>
      <c r="AB122" s="38"/>
      <c r="AC122" s="39"/>
      <c r="AD122" s="40"/>
      <c r="AE122" s="41"/>
      <c r="AF122" s="42"/>
      <c r="AG122" s="42"/>
      <c r="AH122" s="42"/>
      <c r="AI122" s="43"/>
      <c r="AJ122" s="44"/>
      <c r="AK122" s="45"/>
      <c r="AL122" s="45"/>
      <c r="AM122" s="45"/>
      <c r="AN122" s="46"/>
      <c r="AO122" s="47"/>
      <c r="AP122" s="48"/>
      <c r="AQ122" s="48"/>
      <c r="AR122" s="48"/>
      <c r="AS122" s="48"/>
      <c r="AT122" s="49"/>
      <c r="AU122" s="50" t="s">
        <v>87</v>
      </c>
      <c r="AV122" s="51" t="s">
        <v>87</v>
      </c>
      <c r="AW122" s="51" t="s">
        <v>87</v>
      </c>
      <c r="AX122" s="52"/>
      <c r="AY122" s="53"/>
      <c r="AZ122" s="80"/>
      <c r="BA122" s="54"/>
      <c r="BB122" s="55"/>
      <c r="BC122" s="55" t="s">
        <v>87</v>
      </c>
      <c r="BD122" s="55" t="s">
        <v>87</v>
      </c>
      <c r="BE122" s="55"/>
      <c r="BF122" s="55" t="s">
        <v>87</v>
      </c>
      <c r="BG122" s="56"/>
      <c r="BH122" s="57"/>
      <c r="BI122" s="58"/>
      <c r="BJ122" s="58"/>
      <c r="BK122" s="58"/>
      <c r="BL122" s="58"/>
      <c r="BM122" s="58"/>
      <c r="BN122" s="58"/>
      <c r="BO122" s="58"/>
    </row>
    <row r="123" spans="1:67" ht="28.5" customHeight="1" x14ac:dyDescent="0.35">
      <c r="A123" s="66" t="s">
        <v>682</v>
      </c>
      <c r="B123" s="66">
        <v>40613936664</v>
      </c>
      <c r="C123" s="66" t="s">
        <v>80</v>
      </c>
      <c r="D123" s="66" t="s">
        <v>683</v>
      </c>
      <c r="E123" s="66" t="s">
        <v>90</v>
      </c>
      <c r="F123" s="66" t="s">
        <v>83</v>
      </c>
      <c r="G123" s="66" t="str">
        <f>"2022"</f>
        <v>2022</v>
      </c>
      <c r="H123" s="66"/>
      <c r="I123" s="66" t="str">
        <f>"0412662308"</f>
        <v>0412662308</v>
      </c>
      <c r="J123" s="68" t="s">
        <v>684</v>
      </c>
      <c r="K123" s="68" t="s">
        <v>685</v>
      </c>
      <c r="L123" s="59"/>
      <c r="M123" s="60"/>
      <c r="N123" s="60"/>
      <c r="O123" s="60"/>
      <c r="P123" s="60"/>
      <c r="Q123" s="61"/>
      <c r="R123" s="32" t="s">
        <v>87</v>
      </c>
      <c r="S123" s="33" t="s">
        <v>87</v>
      </c>
      <c r="T123" s="33" t="s">
        <v>87</v>
      </c>
      <c r="U123" s="33" t="s">
        <v>87</v>
      </c>
      <c r="V123" s="34" t="s">
        <v>87</v>
      </c>
      <c r="W123" s="35" t="s">
        <v>87</v>
      </c>
      <c r="X123" s="36" t="s">
        <v>87</v>
      </c>
      <c r="Y123" s="36" t="s">
        <v>87</v>
      </c>
      <c r="Z123" s="36" t="s">
        <v>87</v>
      </c>
      <c r="AA123" s="37" t="s">
        <v>87</v>
      </c>
      <c r="AB123" s="38" t="s">
        <v>87</v>
      </c>
      <c r="AC123" s="39"/>
      <c r="AD123" s="40" t="s">
        <v>87</v>
      </c>
      <c r="AE123" s="41"/>
      <c r="AF123" s="42"/>
      <c r="AG123" s="42"/>
      <c r="AH123" s="42"/>
      <c r="AI123" s="43"/>
      <c r="AJ123" s="44"/>
      <c r="AK123" s="45"/>
      <c r="AL123" s="45"/>
      <c r="AM123" s="45"/>
      <c r="AN123" s="46"/>
      <c r="AO123" s="47"/>
      <c r="AP123" s="48"/>
      <c r="AQ123" s="48"/>
      <c r="AR123" s="48"/>
      <c r="AS123" s="48"/>
      <c r="AT123" s="49"/>
      <c r="AU123" s="50"/>
      <c r="AV123" s="51"/>
      <c r="AW123" s="51"/>
      <c r="AX123" s="52"/>
      <c r="AY123" s="53"/>
      <c r="AZ123" s="80"/>
      <c r="BA123" s="54"/>
      <c r="BB123" s="55"/>
      <c r="BC123" s="55"/>
      <c r="BD123" s="55"/>
      <c r="BE123" s="55"/>
      <c r="BF123" s="55"/>
      <c r="BG123" s="56"/>
      <c r="BH123" s="57"/>
      <c r="BI123" s="58"/>
      <c r="BJ123" s="58"/>
      <c r="BK123" s="58"/>
      <c r="BL123" s="58"/>
      <c r="BM123" s="58"/>
      <c r="BN123" s="58"/>
      <c r="BO123" s="58"/>
    </row>
    <row r="124" spans="1:67" ht="28.5" customHeight="1" x14ac:dyDescent="0.35">
      <c r="A124" s="66" t="s">
        <v>686</v>
      </c>
      <c r="B124" s="66">
        <v>86152842718</v>
      </c>
      <c r="C124" s="66" t="s">
        <v>80</v>
      </c>
      <c r="D124" s="66" t="s">
        <v>687</v>
      </c>
      <c r="E124" s="66" t="s">
        <v>152</v>
      </c>
      <c r="F124" s="66" t="s">
        <v>83</v>
      </c>
      <c r="G124" s="66" t="str">
        <f>"2010"</f>
        <v>2010</v>
      </c>
      <c r="H124" s="66" t="str">
        <f>"02 9409 0070"</f>
        <v>02 9409 0070</v>
      </c>
      <c r="I124" s="66" t="str">
        <f>"0404653569"</f>
        <v>0404653569</v>
      </c>
      <c r="J124" s="68" t="s">
        <v>688</v>
      </c>
      <c r="K124" s="68" t="s">
        <v>689</v>
      </c>
      <c r="L124" s="59"/>
      <c r="M124" s="60"/>
      <c r="N124" s="60"/>
      <c r="O124" s="60"/>
      <c r="P124" s="60"/>
      <c r="Q124" s="61"/>
      <c r="R124" s="32" t="s">
        <v>87</v>
      </c>
      <c r="S124" s="33" t="s">
        <v>87</v>
      </c>
      <c r="T124" s="33"/>
      <c r="U124" s="33"/>
      <c r="V124" s="34" t="s">
        <v>87</v>
      </c>
      <c r="W124" s="35" t="s">
        <v>87</v>
      </c>
      <c r="X124" s="36" t="s">
        <v>87</v>
      </c>
      <c r="Y124" s="36"/>
      <c r="Z124" s="36"/>
      <c r="AA124" s="37" t="s">
        <v>87</v>
      </c>
      <c r="AB124" s="38"/>
      <c r="AC124" s="39"/>
      <c r="AD124" s="40"/>
      <c r="AE124" s="41"/>
      <c r="AF124" s="42"/>
      <c r="AG124" s="42"/>
      <c r="AH124" s="42"/>
      <c r="AI124" s="43"/>
      <c r="AJ124" s="44"/>
      <c r="AK124" s="45"/>
      <c r="AL124" s="45"/>
      <c r="AM124" s="45"/>
      <c r="AN124" s="46"/>
      <c r="AO124" s="47"/>
      <c r="AP124" s="48"/>
      <c r="AQ124" s="48"/>
      <c r="AR124" s="48"/>
      <c r="AS124" s="48"/>
      <c r="AT124" s="49"/>
      <c r="AU124" s="50" t="s">
        <v>87</v>
      </c>
      <c r="AV124" s="51" t="s">
        <v>87</v>
      </c>
      <c r="AW124" s="51" t="s">
        <v>87</v>
      </c>
      <c r="AX124" s="52" t="s">
        <v>87</v>
      </c>
      <c r="AY124" s="53"/>
      <c r="AZ124" s="80"/>
      <c r="BA124" s="54"/>
      <c r="BB124" s="55"/>
      <c r="BC124" s="55"/>
      <c r="BD124" s="55"/>
      <c r="BE124" s="55"/>
      <c r="BF124" s="55"/>
      <c r="BG124" s="56"/>
      <c r="BH124" s="57"/>
      <c r="BI124" s="58"/>
      <c r="BJ124" s="58"/>
      <c r="BK124" s="58"/>
      <c r="BL124" s="58"/>
      <c r="BM124" s="58"/>
      <c r="BN124" s="58"/>
      <c r="BO124" s="58"/>
    </row>
    <row r="125" spans="1:67" ht="28.5" customHeight="1" x14ac:dyDescent="0.35">
      <c r="A125" s="66" t="s">
        <v>690</v>
      </c>
      <c r="B125" s="66">
        <v>49067157091</v>
      </c>
      <c r="C125" s="66" t="s">
        <v>80</v>
      </c>
      <c r="D125" s="66" t="s">
        <v>691</v>
      </c>
      <c r="E125" s="66" t="s">
        <v>342</v>
      </c>
      <c r="F125" s="66" t="s">
        <v>83</v>
      </c>
      <c r="G125" s="66" t="str">
        <f>"2000"</f>
        <v>2000</v>
      </c>
      <c r="H125" s="66" t="str">
        <f>"02 9212 2255"</f>
        <v>02 9212 2255</v>
      </c>
      <c r="I125" s="66" t="str">
        <f>"0415981068"</f>
        <v>0415981068</v>
      </c>
      <c r="J125" s="68" t="s">
        <v>692</v>
      </c>
      <c r="K125" s="68" t="s">
        <v>693</v>
      </c>
      <c r="L125" s="59"/>
      <c r="M125" s="60"/>
      <c r="N125" s="60"/>
      <c r="O125" s="60"/>
      <c r="P125" s="60"/>
      <c r="Q125" s="61"/>
      <c r="R125" s="32" t="s">
        <v>87</v>
      </c>
      <c r="S125" s="33" t="s">
        <v>87</v>
      </c>
      <c r="T125" s="33"/>
      <c r="U125" s="33"/>
      <c r="V125" s="34" t="s">
        <v>87</v>
      </c>
      <c r="W125" s="35" t="s">
        <v>87</v>
      </c>
      <c r="X125" s="36" t="s">
        <v>87</v>
      </c>
      <c r="Y125" s="36"/>
      <c r="Z125" s="36"/>
      <c r="AA125" s="37"/>
      <c r="AB125" s="38"/>
      <c r="AC125" s="39"/>
      <c r="AD125" s="40"/>
      <c r="AE125" s="41"/>
      <c r="AF125" s="42"/>
      <c r="AG125" s="42"/>
      <c r="AH125" s="42"/>
      <c r="AI125" s="43"/>
      <c r="AJ125" s="44"/>
      <c r="AK125" s="45"/>
      <c r="AL125" s="45"/>
      <c r="AM125" s="45"/>
      <c r="AN125" s="46"/>
      <c r="AO125" s="47"/>
      <c r="AP125" s="48"/>
      <c r="AQ125" s="48"/>
      <c r="AR125" s="48"/>
      <c r="AS125" s="48"/>
      <c r="AT125" s="49"/>
      <c r="AU125" s="50" t="s">
        <v>87</v>
      </c>
      <c r="AV125" s="51" t="s">
        <v>87</v>
      </c>
      <c r="AW125" s="51" t="s">
        <v>87</v>
      </c>
      <c r="AX125" s="52" t="s">
        <v>87</v>
      </c>
      <c r="AY125" s="53"/>
      <c r="AZ125" s="80"/>
      <c r="BA125" s="54"/>
      <c r="BB125" s="55"/>
      <c r="BC125" s="55"/>
      <c r="BD125" s="55"/>
      <c r="BE125" s="55"/>
      <c r="BF125" s="55"/>
      <c r="BG125" s="56"/>
      <c r="BH125" s="57"/>
      <c r="BI125" s="58"/>
      <c r="BJ125" s="58"/>
      <c r="BK125" s="58"/>
      <c r="BL125" s="58"/>
      <c r="BM125" s="58"/>
      <c r="BN125" s="58"/>
      <c r="BO125" s="58"/>
    </row>
    <row r="126" spans="1:67" ht="28.5" customHeight="1" x14ac:dyDescent="0.35">
      <c r="A126" s="69" t="s">
        <v>694</v>
      </c>
      <c r="B126" s="69">
        <v>90640874611</v>
      </c>
      <c r="C126" s="69" t="s">
        <v>80</v>
      </c>
      <c r="D126" s="69" t="s">
        <v>695</v>
      </c>
      <c r="E126" s="69" t="s">
        <v>696</v>
      </c>
      <c r="F126" s="69" t="s">
        <v>83</v>
      </c>
      <c r="G126" s="69">
        <v>2100</v>
      </c>
      <c r="H126" s="71" t="s">
        <v>697</v>
      </c>
      <c r="I126" s="71" t="s">
        <v>698</v>
      </c>
      <c r="J126" s="70" t="s">
        <v>699</v>
      </c>
      <c r="K126" s="70" t="s">
        <v>700</v>
      </c>
      <c r="L126" s="59"/>
      <c r="M126" s="60"/>
      <c r="N126" s="60"/>
      <c r="O126" s="60"/>
      <c r="P126" s="60"/>
      <c r="Q126" s="61"/>
      <c r="R126" s="32"/>
      <c r="S126" s="33"/>
      <c r="T126" s="33"/>
      <c r="U126" s="33"/>
      <c r="V126" s="34"/>
      <c r="W126" s="35" t="s">
        <v>87</v>
      </c>
      <c r="X126" s="36" t="s">
        <v>87</v>
      </c>
      <c r="Y126" s="36"/>
      <c r="Z126" s="36"/>
      <c r="AA126" s="37" t="s">
        <v>87</v>
      </c>
      <c r="AB126" s="38"/>
      <c r="AC126" s="39"/>
      <c r="AD126" s="40"/>
      <c r="AE126" s="41"/>
      <c r="AF126" s="42"/>
      <c r="AG126" s="42"/>
      <c r="AH126" s="42"/>
      <c r="AI126" s="43"/>
      <c r="AJ126" s="44"/>
      <c r="AK126" s="45"/>
      <c r="AL126" s="45"/>
      <c r="AM126" s="45"/>
      <c r="AN126" s="46"/>
      <c r="AO126" s="47"/>
      <c r="AP126" s="48"/>
      <c r="AQ126" s="48"/>
      <c r="AR126" s="48"/>
      <c r="AS126" s="48"/>
      <c r="AT126" s="49"/>
      <c r="AU126" s="50"/>
      <c r="AV126" s="51"/>
      <c r="AW126" s="51"/>
      <c r="AX126" s="52"/>
      <c r="AY126" s="53"/>
      <c r="AZ126" s="80"/>
      <c r="BA126" s="54"/>
      <c r="BB126" s="55"/>
      <c r="BC126" s="55"/>
      <c r="BD126" s="55"/>
      <c r="BE126" s="55"/>
      <c r="BF126" s="55"/>
      <c r="BG126" s="56"/>
      <c r="BH126" s="57" t="s">
        <v>87</v>
      </c>
      <c r="BI126" s="58" t="s">
        <v>87</v>
      </c>
      <c r="BJ126" s="58" t="s">
        <v>87</v>
      </c>
      <c r="BK126" s="58" t="s">
        <v>87</v>
      </c>
      <c r="BL126" s="58" t="s">
        <v>87</v>
      </c>
      <c r="BM126" s="58" t="s">
        <v>87</v>
      </c>
      <c r="BN126" s="58" t="s">
        <v>87</v>
      </c>
      <c r="BO126" s="58" t="s">
        <v>87</v>
      </c>
    </row>
    <row r="127" spans="1:67" ht="28.5" customHeight="1" x14ac:dyDescent="0.35">
      <c r="A127" s="66" t="s">
        <v>701</v>
      </c>
      <c r="B127" s="66">
        <v>12103086451</v>
      </c>
      <c r="C127" s="66" t="s">
        <v>80</v>
      </c>
      <c r="D127" s="66" t="s">
        <v>702</v>
      </c>
      <c r="E127" s="66" t="s">
        <v>132</v>
      </c>
      <c r="F127" s="66" t="s">
        <v>379</v>
      </c>
      <c r="G127" s="66" t="str">
        <f>"3121"</f>
        <v>3121</v>
      </c>
      <c r="H127" s="66"/>
      <c r="I127" s="66" t="str">
        <f>"0412614568"</f>
        <v>0412614568</v>
      </c>
      <c r="J127" s="68" t="s">
        <v>703</v>
      </c>
      <c r="K127" s="68" t="s">
        <v>704</v>
      </c>
      <c r="L127" s="59"/>
      <c r="M127" s="60"/>
      <c r="N127" s="60"/>
      <c r="O127" s="60"/>
      <c r="P127" s="60"/>
      <c r="Q127" s="61"/>
      <c r="R127" s="32" t="s">
        <v>87</v>
      </c>
      <c r="S127" s="33" t="s">
        <v>87</v>
      </c>
      <c r="T127" s="33" t="s">
        <v>87</v>
      </c>
      <c r="U127" s="33" t="s">
        <v>87</v>
      </c>
      <c r="V127" s="34" t="s">
        <v>87</v>
      </c>
      <c r="W127" s="35" t="s">
        <v>87</v>
      </c>
      <c r="X127" s="36" t="s">
        <v>87</v>
      </c>
      <c r="Y127" s="36" t="s">
        <v>87</v>
      </c>
      <c r="Z127" s="36" t="s">
        <v>87</v>
      </c>
      <c r="AA127" s="37" t="s">
        <v>87</v>
      </c>
      <c r="AB127" s="38" t="s">
        <v>87</v>
      </c>
      <c r="AC127" s="39" t="s">
        <v>87</v>
      </c>
      <c r="AD127" s="40" t="s">
        <v>87</v>
      </c>
      <c r="AE127" s="41"/>
      <c r="AF127" s="42"/>
      <c r="AG127" s="42"/>
      <c r="AH127" s="42"/>
      <c r="AI127" s="43"/>
      <c r="AJ127" s="44"/>
      <c r="AK127" s="45"/>
      <c r="AL127" s="45"/>
      <c r="AM127" s="45"/>
      <c r="AN127" s="46"/>
      <c r="AO127" s="47"/>
      <c r="AP127" s="48"/>
      <c r="AQ127" s="48"/>
      <c r="AR127" s="48"/>
      <c r="AS127" s="48"/>
      <c r="AT127" s="49"/>
      <c r="AU127" s="50"/>
      <c r="AV127" s="51"/>
      <c r="AW127" s="51"/>
      <c r="AX127" s="52"/>
      <c r="AY127" s="53"/>
      <c r="AZ127" s="80"/>
      <c r="BA127" s="54" t="s">
        <v>87</v>
      </c>
      <c r="BB127" s="55" t="s">
        <v>87</v>
      </c>
      <c r="BC127" s="55" t="s">
        <v>87</v>
      </c>
      <c r="BD127" s="55" t="s">
        <v>87</v>
      </c>
      <c r="BE127" s="55" t="s">
        <v>87</v>
      </c>
      <c r="BF127" s="55" t="s">
        <v>87</v>
      </c>
      <c r="BG127" s="56" t="s">
        <v>87</v>
      </c>
      <c r="BH127" s="57"/>
      <c r="BI127" s="58"/>
      <c r="BJ127" s="58"/>
      <c r="BK127" s="58"/>
      <c r="BL127" s="58"/>
      <c r="BM127" s="58"/>
      <c r="BN127" s="58"/>
      <c r="BO127" s="58"/>
    </row>
    <row r="128" spans="1:67" ht="28.5" customHeight="1" x14ac:dyDescent="0.35">
      <c r="A128" s="66" t="s">
        <v>705</v>
      </c>
      <c r="B128" s="66">
        <v>14643754278</v>
      </c>
      <c r="C128" s="66" t="s">
        <v>80</v>
      </c>
      <c r="D128" s="66" t="s">
        <v>706</v>
      </c>
      <c r="E128" s="66" t="s">
        <v>132</v>
      </c>
      <c r="F128" s="66" t="s">
        <v>83</v>
      </c>
      <c r="G128" s="66" t="str">
        <f>"2000"</f>
        <v>2000</v>
      </c>
      <c r="H128" s="66"/>
      <c r="I128" s="66" t="str">
        <f>"0405820424"</f>
        <v>0405820424</v>
      </c>
      <c r="J128" s="68" t="s">
        <v>707</v>
      </c>
      <c r="K128" s="68" t="s">
        <v>708</v>
      </c>
      <c r="L128" s="59"/>
      <c r="M128" s="60"/>
      <c r="N128" s="60"/>
      <c r="O128" s="60"/>
      <c r="P128" s="60"/>
      <c r="Q128" s="61"/>
      <c r="R128" s="32"/>
      <c r="S128" s="33"/>
      <c r="T128" s="33"/>
      <c r="U128" s="33"/>
      <c r="V128" s="34"/>
      <c r="W128" s="35"/>
      <c r="X128" s="36"/>
      <c r="Y128" s="36"/>
      <c r="Z128" s="36"/>
      <c r="AA128" s="37"/>
      <c r="AB128" s="38"/>
      <c r="AC128" s="39"/>
      <c r="AD128" s="40"/>
      <c r="AE128" s="41"/>
      <c r="AF128" s="42"/>
      <c r="AG128" s="42"/>
      <c r="AH128" s="42"/>
      <c r="AI128" s="43"/>
      <c r="AJ128" s="44"/>
      <c r="AK128" s="45"/>
      <c r="AL128" s="45"/>
      <c r="AM128" s="45"/>
      <c r="AN128" s="46"/>
      <c r="AO128" s="47"/>
      <c r="AP128" s="48"/>
      <c r="AQ128" s="48"/>
      <c r="AR128" s="48"/>
      <c r="AS128" s="48"/>
      <c r="AT128" s="49"/>
      <c r="AU128" s="50"/>
      <c r="AV128" s="51" t="s">
        <v>87</v>
      </c>
      <c r="AW128" s="51" t="s">
        <v>87</v>
      </c>
      <c r="AX128" s="52" t="s">
        <v>87</v>
      </c>
      <c r="AY128" s="53" t="s">
        <v>87</v>
      </c>
      <c r="AZ128" s="80" t="s">
        <v>87</v>
      </c>
      <c r="BA128" s="54"/>
      <c r="BB128" s="55"/>
      <c r="BC128" s="55"/>
      <c r="BD128" s="55"/>
      <c r="BE128" s="55"/>
      <c r="BF128" s="55"/>
      <c r="BG128" s="56"/>
      <c r="BH128" s="57" t="s">
        <v>87</v>
      </c>
      <c r="BI128" s="58" t="s">
        <v>87</v>
      </c>
      <c r="BJ128" s="58" t="s">
        <v>87</v>
      </c>
      <c r="BK128" s="58"/>
      <c r="BL128" s="58" t="s">
        <v>87</v>
      </c>
      <c r="BM128" s="58"/>
      <c r="BN128" s="58" t="s">
        <v>87</v>
      </c>
      <c r="BO128" s="58" t="s">
        <v>87</v>
      </c>
    </row>
    <row r="129" spans="1:67" ht="28.5" customHeight="1" x14ac:dyDescent="0.35">
      <c r="A129" s="66" t="s">
        <v>709</v>
      </c>
      <c r="B129" s="66">
        <v>33100176636</v>
      </c>
      <c r="C129" s="66" t="s">
        <v>80</v>
      </c>
      <c r="D129" s="66" t="s">
        <v>710</v>
      </c>
      <c r="E129" s="66" t="s">
        <v>132</v>
      </c>
      <c r="F129" s="66" t="s">
        <v>83</v>
      </c>
      <c r="G129" s="66">
        <v>2010</v>
      </c>
      <c r="H129" s="66" t="s">
        <v>711</v>
      </c>
      <c r="I129" s="67" t="s">
        <v>712</v>
      </c>
      <c r="J129" s="68" t="s">
        <v>713</v>
      </c>
      <c r="K129" s="68" t="s">
        <v>714</v>
      </c>
      <c r="L129" s="59"/>
      <c r="M129" s="60"/>
      <c r="N129" s="60"/>
      <c r="O129" s="60"/>
      <c r="P129" s="60"/>
      <c r="Q129" s="61"/>
      <c r="R129" s="32"/>
      <c r="S129" s="33"/>
      <c r="T129" s="33"/>
      <c r="U129" s="33"/>
      <c r="V129" s="34"/>
      <c r="W129" s="35"/>
      <c r="X129" s="36"/>
      <c r="Y129" s="36"/>
      <c r="Z129" s="36"/>
      <c r="AA129" s="37"/>
      <c r="AB129" s="38"/>
      <c r="AC129" s="39"/>
      <c r="AD129" s="40"/>
      <c r="AE129" s="41"/>
      <c r="AF129" s="42"/>
      <c r="AG129" s="42"/>
      <c r="AH129" s="42"/>
      <c r="AI129" s="43"/>
      <c r="AJ129" s="44"/>
      <c r="AK129" s="45"/>
      <c r="AL129" s="45"/>
      <c r="AM129" s="45"/>
      <c r="AN129" s="46"/>
      <c r="AO129" s="47" t="s">
        <v>87</v>
      </c>
      <c r="AP129" s="48" t="s">
        <v>87</v>
      </c>
      <c r="AQ129" s="48" t="s">
        <v>87</v>
      </c>
      <c r="AR129" s="48" t="s">
        <v>87</v>
      </c>
      <c r="AS129" s="48" t="s">
        <v>87</v>
      </c>
      <c r="AT129" s="49" t="s">
        <v>87</v>
      </c>
      <c r="AU129" s="50"/>
      <c r="AV129" s="51"/>
      <c r="AW129" s="51"/>
      <c r="AX129" s="52"/>
      <c r="AY129" s="53"/>
      <c r="AZ129" s="80"/>
      <c r="BA129" s="54"/>
      <c r="BB129" s="55"/>
      <c r="BC129" s="55"/>
      <c r="BD129" s="55"/>
      <c r="BE129" s="55"/>
      <c r="BF129" s="55"/>
      <c r="BG129" s="56"/>
      <c r="BH129" s="57"/>
      <c r="BI129" s="58"/>
      <c r="BJ129" s="58"/>
      <c r="BK129" s="58"/>
      <c r="BL129" s="58"/>
      <c r="BM129" s="58"/>
      <c r="BN129" s="58"/>
      <c r="BO129" s="58"/>
    </row>
    <row r="130" spans="1:67" ht="28.5" customHeight="1" x14ac:dyDescent="0.35">
      <c r="A130" s="66" t="s">
        <v>715</v>
      </c>
      <c r="B130" s="66">
        <v>91182754923</v>
      </c>
      <c r="C130" s="66" t="s">
        <v>80</v>
      </c>
      <c r="D130" s="66" t="s">
        <v>716</v>
      </c>
      <c r="E130" s="66" t="s">
        <v>717</v>
      </c>
      <c r="F130" s="66" t="s">
        <v>83</v>
      </c>
      <c r="G130" s="66" t="str">
        <f>"2122"</f>
        <v>2122</v>
      </c>
      <c r="H130" s="66"/>
      <c r="I130" s="66" t="str">
        <f>"0411258014"</f>
        <v>0411258014</v>
      </c>
      <c r="J130" s="68" t="s">
        <v>718</v>
      </c>
      <c r="K130" s="68" t="s">
        <v>719</v>
      </c>
      <c r="L130" s="59"/>
      <c r="M130" s="60"/>
      <c r="N130" s="60"/>
      <c r="O130" s="60"/>
      <c r="P130" s="60"/>
      <c r="Q130" s="61"/>
      <c r="R130" s="32"/>
      <c r="S130" s="33"/>
      <c r="T130" s="33"/>
      <c r="U130" s="33"/>
      <c r="V130" s="34"/>
      <c r="W130" s="35"/>
      <c r="X130" s="36" t="s">
        <v>87</v>
      </c>
      <c r="Y130" s="36"/>
      <c r="Z130" s="36"/>
      <c r="AA130" s="37"/>
      <c r="AB130" s="38"/>
      <c r="AC130" s="39"/>
      <c r="AD130" s="40"/>
      <c r="AE130" s="41"/>
      <c r="AF130" s="42"/>
      <c r="AG130" s="42"/>
      <c r="AH130" s="42"/>
      <c r="AI130" s="43"/>
      <c r="AJ130" s="44"/>
      <c r="AK130" s="45"/>
      <c r="AL130" s="45"/>
      <c r="AM130" s="45"/>
      <c r="AN130" s="46"/>
      <c r="AO130" s="47"/>
      <c r="AP130" s="48"/>
      <c r="AQ130" s="48"/>
      <c r="AR130" s="48"/>
      <c r="AS130" s="48"/>
      <c r="AT130" s="49"/>
      <c r="AU130" s="50"/>
      <c r="AV130" s="51"/>
      <c r="AW130" s="51"/>
      <c r="AX130" s="52"/>
      <c r="AY130" s="53"/>
      <c r="AZ130" s="80"/>
      <c r="BA130" s="54"/>
      <c r="BB130" s="55"/>
      <c r="BC130" s="55"/>
      <c r="BD130" s="55"/>
      <c r="BE130" s="55"/>
      <c r="BF130" s="55"/>
      <c r="BG130" s="56"/>
      <c r="BH130" s="57"/>
      <c r="BI130" s="58"/>
      <c r="BJ130" s="58"/>
      <c r="BK130" s="58"/>
      <c r="BL130" s="58"/>
      <c r="BM130" s="58"/>
      <c r="BN130" s="58"/>
      <c r="BO130" s="58"/>
    </row>
    <row r="131" spans="1:67" ht="28.5" customHeight="1" x14ac:dyDescent="0.35">
      <c r="A131" s="66" t="s">
        <v>720</v>
      </c>
      <c r="B131" s="66">
        <v>98108292324</v>
      </c>
      <c r="C131" s="66" t="s">
        <v>80</v>
      </c>
      <c r="D131" s="66" t="s">
        <v>721</v>
      </c>
      <c r="E131" s="66" t="s">
        <v>342</v>
      </c>
      <c r="F131" s="66" t="s">
        <v>83</v>
      </c>
      <c r="G131" s="66">
        <v>2560</v>
      </c>
      <c r="H131" s="67" t="s">
        <v>722</v>
      </c>
      <c r="I131" s="67" t="s">
        <v>723</v>
      </c>
      <c r="J131" s="68" t="s">
        <v>724</v>
      </c>
      <c r="K131" s="68" t="s">
        <v>725</v>
      </c>
      <c r="L131" s="59"/>
      <c r="M131" s="60"/>
      <c r="N131" s="60"/>
      <c r="O131" s="60"/>
      <c r="P131" s="60"/>
      <c r="Q131" s="61"/>
      <c r="R131" s="32" t="s">
        <v>87</v>
      </c>
      <c r="S131" s="33" t="s">
        <v>87</v>
      </c>
      <c r="T131" s="33" t="s">
        <v>87</v>
      </c>
      <c r="U131" s="33" t="s">
        <v>87</v>
      </c>
      <c r="V131" s="34" t="s">
        <v>87</v>
      </c>
      <c r="W131" s="35" t="s">
        <v>87</v>
      </c>
      <c r="X131" s="36" t="s">
        <v>87</v>
      </c>
      <c r="Y131" s="36" t="s">
        <v>87</v>
      </c>
      <c r="Z131" s="36"/>
      <c r="AA131" s="37" t="s">
        <v>87</v>
      </c>
      <c r="AB131" s="38"/>
      <c r="AC131" s="39"/>
      <c r="AD131" s="40"/>
      <c r="AE131" s="41"/>
      <c r="AF131" s="42"/>
      <c r="AG131" s="42"/>
      <c r="AH131" s="42"/>
      <c r="AI131" s="43"/>
      <c r="AJ131" s="44"/>
      <c r="AK131" s="45"/>
      <c r="AL131" s="45"/>
      <c r="AM131" s="45"/>
      <c r="AN131" s="46"/>
      <c r="AO131" s="47"/>
      <c r="AP131" s="48"/>
      <c r="AQ131" s="48"/>
      <c r="AR131" s="48"/>
      <c r="AS131" s="48"/>
      <c r="AT131" s="49"/>
      <c r="AU131" s="50" t="s">
        <v>87</v>
      </c>
      <c r="AV131" s="51" t="s">
        <v>87</v>
      </c>
      <c r="AW131" s="51" t="s">
        <v>87</v>
      </c>
      <c r="AX131" s="52" t="s">
        <v>87</v>
      </c>
      <c r="AY131" s="53"/>
      <c r="AZ131" s="80"/>
      <c r="BA131" s="54"/>
      <c r="BB131" s="55"/>
      <c r="BC131" s="55"/>
      <c r="BD131" s="55"/>
      <c r="BE131" s="55"/>
      <c r="BF131" s="55"/>
      <c r="BG131" s="56"/>
      <c r="BH131" s="57"/>
      <c r="BI131" s="58"/>
      <c r="BJ131" s="58"/>
      <c r="BK131" s="58"/>
      <c r="BL131" s="58"/>
      <c r="BM131" s="58"/>
      <c r="BN131" s="58"/>
      <c r="BO131" s="58"/>
    </row>
    <row r="132" spans="1:67" ht="28.5" customHeight="1" x14ac:dyDescent="0.35">
      <c r="A132" s="66" t="s">
        <v>726</v>
      </c>
      <c r="B132" s="66">
        <v>14099809319</v>
      </c>
      <c r="C132" s="66" t="s">
        <v>80</v>
      </c>
      <c r="D132" s="66" t="s">
        <v>727</v>
      </c>
      <c r="E132" s="66" t="s">
        <v>263</v>
      </c>
      <c r="F132" s="66" t="s">
        <v>83</v>
      </c>
      <c r="G132" s="66">
        <v>2009</v>
      </c>
      <c r="H132" s="66"/>
      <c r="I132" s="67" t="s">
        <v>728</v>
      </c>
      <c r="J132" s="68" t="s">
        <v>729</v>
      </c>
      <c r="K132" s="68" t="s">
        <v>730</v>
      </c>
      <c r="L132" s="59"/>
      <c r="M132" s="60"/>
      <c r="N132" s="60"/>
      <c r="O132" s="60"/>
      <c r="P132" s="60"/>
      <c r="Q132" s="61"/>
      <c r="R132" s="32"/>
      <c r="S132" s="33"/>
      <c r="T132" s="33"/>
      <c r="U132" s="33"/>
      <c r="V132" s="34"/>
      <c r="W132" s="35"/>
      <c r="X132" s="36"/>
      <c r="Y132" s="36"/>
      <c r="Z132" s="36" t="s">
        <v>87</v>
      </c>
      <c r="AA132" s="37"/>
      <c r="AB132" s="38"/>
      <c r="AC132" s="39"/>
      <c r="AD132" s="40"/>
      <c r="AE132" s="41"/>
      <c r="AF132" s="42"/>
      <c r="AG132" s="42"/>
      <c r="AH132" s="42"/>
      <c r="AI132" s="43"/>
      <c r="AJ132" s="44"/>
      <c r="AK132" s="45"/>
      <c r="AL132" s="45"/>
      <c r="AM132" s="45"/>
      <c r="AN132" s="46"/>
      <c r="AO132" s="47"/>
      <c r="AP132" s="48"/>
      <c r="AQ132" s="48"/>
      <c r="AR132" s="48"/>
      <c r="AS132" s="48"/>
      <c r="AT132" s="49"/>
      <c r="AU132" s="50" t="s">
        <v>87</v>
      </c>
      <c r="AV132" s="51"/>
      <c r="AW132" s="51"/>
      <c r="AX132" s="52"/>
      <c r="AY132" s="53"/>
      <c r="AZ132" s="80"/>
      <c r="BA132" s="54"/>
      <c r="BB132" s="55"/>
      <c r="BC132" s="55"/>
      <c r="BD132" s="55"/>
      <c r="BE132" s="55"/>
      <c r="BF132" s="55"/>
      <c r="BG132" s="56"/>
      <c r="BH132" s="57"/>
      <c r="BI132" s="58"/>
      <c r="BJ132" s="58"/>
      <c r="BK132" s="58"/>
      <c r="BL132" s="58"/>
      <c r="BM132" s="58"/>
      <c r="BN132" s="58" t="s">
        <v>87</v>
      </c>
      <c r="BO132" s="58" t="s">
        <v>87</v>
      </c>
    </row>
    <row r="133" spans="1:67" ht="28.5" customHeight="1" x14ac:dyDescent="0.35">
      <c r="A133" s="66" t="s">
        <v>731</v>
      </c>
      <c r="B133" s="66">
        <v>45624691872</v>
      </c>
      <c r="C133" s="66" t="s">
        <v>80</v>
      </c>
      <c r="D133" s="66" t="s">
        <v>732</v>
      </c>
      <c r="E133" s="66" t="s">
        <v>90</v>
      </c>
      <c r="F133" s="66" t="s">
        <v>83</v>
      </c>
      <c r="G133" s="66" t="str">
        <f>"2015"</f>
        <v>2015</v>
      </c>
      <c r="H133" s="66" t="str">
        <f>"02 8091 3491"</f>
        <v>02 8091 3491</v>
      </c>
      <c r="I133" s="66" t="str">
        <f>"0437504787"</f>
        <v>0437504787</v>
      </c>
      <c r="J133" s="68" t="s">
        <v>733</v>
      </c>
      <c r="K133" s="68" t="s">
        <v>734</v>
      </c>
      <c r="L133" s="59"/>
      <c r="M133" s="60"/>
      <c r="N133" s="60"/>
      <c r="O133" s="60"/>
      <c r="P133" s="60"/>
      <c r="Q133" s="61"/>
      <c r="R133" s="32"/>
      <c r="S133" s="33"/>
      <c r="T133" s="33"/>
      <c r="U133" s="33"/>
      <c r="V133" s="34"/>
      <c r="W133" s="35"/>
      <c r="X133" s="36"/>
      <c r="Y133" s="36"/>
      <c r="Z133" s="36"/>
      <c r="AA133" s="37"/>
      <c r="AB133" s="38"/>
      <c r="AC133" s="39"/>
      <c r="AD133" s="40"/>
      <c r="AE133" s="41"/>
      <c r="AF133" s="42"/>
      <c r="AG133" s="42"/>
      <c r="AH133" s="42"/>
      <c r="AI133" s="43"/>
      <c r="AJ133" s="44"/>
      <c r="AK133" s="45"/>
      <c r="AL133" s="45"/>
      <c r="AM133" s="45"/>
      <c r="AN133" s="46"/>
      <c r="AO133" s="47"/>
      <c r="AP133" s="48"/>
      <c r="AQ133" s="48"/>
      <c r="AR133" s="48"/>
      <c r="AS133" s="48"/>
      <c r="AT133" s="49"/>
      <c r="AU133" s="50"/>
      <c r="AV133" s="51"/>
      <c r="AW133" s="51"/>
      <c r="AX133" s="52"/>
      <c r="AY133" s="53"/>
      <c r="AZ133" s="80"/>
      <c r="BA133" s="54"/>
      <c r="BB133" s="55"/>
      <c r="BC133" s="55"/>
      <c r="BD133" s="55"/>
      <c r="BE133" s="55"/>
      <c r="BF133" s="55"/>
      <c r="BG133" s="56"/>
      <c r="BH133" s="57" t="s">
        <v>87</v>
      </c>
      <c r="BI133" s="58" t="s">
        <v>87</v>
      </c>
      <c r="BJ133" s="58"/>
      <c r="BK133" s="58"/>
      <c r="BL133" s="58"/>
      <c r="BM133" s="58"/>
      <c r="BN133" s="58" t="s">
        <v>87</v>
      </c>
      <c r="BO133" s="58" t="s">
        <v>87</v>
      </c>
    </row>
    <row r="134" spans="1:67" ht="28.5" customHeight="1" x14ac:dyDescent="0.35">
      <c r="A134" s="66" t="s">
        <v>735</v>
      </c>
      <c r="B134" s="66">
        <v>80883821452</v>
      </c>
      <c r="C134" s="66" t="s">
        <v>80</v>
      </c>
      <c r="D134" s="66" t="s">
        <v>736</v>
      </c>
      <c r="E134" s="66" t="s">
        <v>90</v>
      </c>
      <c r="F134" s="66" t="s">
        <v>83</v>
      </c>
      <c r="G134" s="66" t="str">
        <f>"2060"</f>
        <v>2060</v>
      </c>
      <c r="H134" s="66" t="str">
        <f>"02 9279 0022"</f>
        <v>02 9279 0022</v>
      </c>
      <c r="I134" s="66" t="str">
        <f>"0418419128"</f>
        <v>0418419128</v>
      </c>
      <c r="J134" s="68" t="s">
        <v>737</v>
      </c>
      <c r="K134" s="68" t="s">
        <v>738</v>
      </c>
      <c r="L134" s="59"/>
      <c r="M134" s="60"/>
      <c r="N134" s="60"/>
      <c r="O134" s="60"/>
      <c r="P134" s="60"/>
      <c r="Q134" s="61"/>
      <c r="R134" s="32"/>
      <c r="S134" s="33"/>
      <c r="T134" s="33"/>
      <c r="U134" s="33"/>
      <c r="V134" s="34"/>
      <c r="W134" s="35" t="s">
        <v>87</v>
      </c>
      <c r="X134" s="36" t="s">
        <v>87</v>
      </c>
      <c r="Y134" s="36" t="s">
        <v>87</v>
      </c>
      <c r="Z134" s="36" t="s">
        <v>87</v>
      </c>
      <c r="AA134" s="37" t="s">
        <v>87</v>
      </c>
      <c r="AB134" s="38"/>
      <c r="AC134" s="39"/>
      <c r="AD134" s="40"/>
      <c r="AE134" s="41"/>
      <c r="AF134" s="42"/>
      <c r="AG134" s="42"/>
      <c r="AH134" s="42"/>
      <c r="AI134" s="43"/>
      <c r="AJ134" s="44"/>
      <c r="AK134" s="45"/>
      <c r="AL134" s="45"/>
      <c r="AM134" s="45"/>
      <c r="AN134" s="46"/>
      <c r="AO134" s="47"/>
      <c r="AP134" s="48"/>
      <c r="AQ134" s="48"/>
      <c r="AR134" s="48"/>
      <c r="AS134" s="48"/>
      <c r="AT134" s="49"/>
      <c r="AU134" s="50" t="s">
        <v>87</v>
      </c>
      <c r="AV134" s="51" t="s">
        <v>87</v>
      </c>
      <c r="AW134" s="51" t="s">
        <v>87</v>
      </c>
      <c r="AX134" s="52" t="s">
        <v>87</v>
      </c>
      <c r="AY134" s="53"/>
      <c r="AZ134" s="80"/>
      <c r="BA134" s="54"/>
      <c r="BB134" s="55"/>
      <c r="BC134" s="55"/>
      <c r="BD134" s="55"/>
      <c r="BE134" s="55"/>
      <c r="BF134" s="55"/>
      <c r="BG134" s="56"/>
      <c r="BH134" s="57" t="s">
        <v>87</v>
      </c>
      <c r="BI134" s="58" t="s">
        <v>87</v>
      </c>
      <c r="BJ134" s="58" t="s">
        <v>87</v>
      </c>
      <c r="BK134" s="58" t="s">
        <v>87</v>
      </c>
      <c r="BL134" s="58" t="s">
        <v>87</v>
      </c>
      <c r="BM134" s="58" t="s">
        <v>87</v>
      </c>
      <c r="BN134" s="58" t="s">
        <v>87</v>
      </c>
      <c r="BO134" s="58" t="s">
        <v>87</v>
      </c>
    </row>
    <row r="135" spans="1:67" ht="28.5" customHeight="1" x14ac:dyDescent="0.35">
      <c r="A135" s="66" t="s">
        <v>739</v>
      </c>
      <c r="B135" s="66">
        <v>89409351674</v>
      </c>
      <c r="C135" s="66" t="s">
        <v>87</v>
      </c>
      <c r="D135" s="66" t="s">
        <v>740</v>
      </c>
      <c r="E135" s="66" t="s">
        <v>152</v>
      </c>
      <c r="F135" s="66" t="s">
        <v>83</v>
      </c>
      <c r="G135" s="66">
        <v>2204</v>
      </c>
      <c r="H135" s="66"/>
      <c r="I135" s="67" t="s">
        <v>741</v>
      </c>
      <c r="J135" s="68" t="s">
        <v>742</v>
      </c>
      <c r="K135" s="68" t="s">
        <v>743</v>
      </c>
      <c r="L135" s="59"/>
      <c r="M135" s="60"/>
      <c r="N135" s="60"/>
      <c r="O135" s="60"/>
      <c r="P135" s="60"/>
      <c r="Q135" s="61"/>
      <c r="R135" s="32"/>
      <c r="S135" s="33"/>
      <c r="T135" s="33"/>
      <c r="U135" s="33"/>
      <c r="V135" s="34"/>
      <c r="W135" s="35"/>
      <c r="X135" s="36"/>
      <c r="Y135" s="36"/>
      <c r="Z135" s="36"/>
      <c r="AA135" s="37"/>
      <c r="AB135" s="38"/>
      <c r="AC135" s="39"/>
      <c r="AD135" s="40"/>
      <c r="AE135" s="41"/>
      <c r="AF135" s="42"/>
      <c r="AG135" s="42"/>
      <c r="AH135" s="42"/>
      <c r="AI135" s="43"/>
      <c r="AJ135" s="44"/>
      <c r="AK135" s="45"/>
      <c r="AL135" s="45"/>
      <c r="AM135" s="45"/>
      <c r="AN135" s="46" t="s">
        <v>87</v>
      </c>
      <c r="AO135" s="47"/>
      <c r="AP135" s="48"/>
      <c r="AQ135" s="48"/>
      <c r="AR135" s="48"/>
      <c r="AS135" s="48"/>
      <c r="AT135" s="49"/>
      <c r="AU135" s="50"/>
      <c r="AV135" s="51"/>
      <c r="AW135" s="51"/>
      <c r="AX135" s="52"/>
      <c r="AY135" s="53"/>
      <c r="AZ135" s="80"/>
      <c r="BA135" s="54"/>
      <c r="BB135" s="55"/>
      <c r="BC135" s="55"/>
      <c r="BD135" s="55"/>
      <c r="BE135" s="55"/>
      <c r="BF135" s="55"/>
      <c r="BG135" s="56"/>
      <c r="BH135" s="57"/>
      <c r="BI135" s="58"/>
      <c r="BJ135" s="58"/>
      <c r="BK135" s="58"/>
      <c r="BL135" s="58"/>
      <c r="BM135" s="58"/>
      <c r="BN135" s="58"/>
      <c r="BO135" s="58"/>
    </row>
    <row r="136" spans="1:67" ht="28.5" customHeight="1" x14ac:dyDescent="0.35">
      <c r="A136" s="66" t="s">
        <v>744</v>
      </c>
      <c r="B136" s="66">
        <v>83145666995</v>
      </c>
      <c r="C136" s="66" t="s">
        <v>80</v>
      </c>
      <c r="D136" s="66" t="s">
        <v>745</v>
      </c>
      <c r="E136" s="66" t="s">
        <v>132</v>
      </c>
      <c r="F136" s="66" t="s">
        <v>83</v>
      </c>
      <c r="G136" s="66">
        <v>2015</v>
      </c>
      <c r="H136" s="66" t="s">
        <v>746</v>
      </c>
      <c r="I136" s="67" t="s">
        <v>747</v>
      </c>
      <c r="J136" s="68" t="s">
        <v>748</v>
      </c>
      <c r="K136" s="68" t="s">
        <v>749</v>
      </c>
      <c r="L136" s="59"/>
      <c r="M136" s="60"/>
      <c r="N136" s="60"/>
      <c r="O136" s="60"/>
      <c r="P136" s="60"/>
      <c r="Q136" s="61"/>
      <c r="R136" s="32"/>
      <c r="S136" s="33"/>
      <c r="T136" s="33"/>
      <c r="U136" s="33"/>
      <c r="V136" s="34"/>
      <c r="W136" s="35" t="s">
        <v>87</v>
      </c>
      <c r="X136" s="36" t="s">
        <v>87</v>
      </c>
      <c r="Y136" s="36"/>
      <c r="Z136" s="36"/>
      <c r="AA136" s="37" t="s">
        <v>87</v>
      </c>
      <c r="AB136" s="38"/>
      <c r="AC136" s="39"/>
      <c r="AD136" s="40"/>
      <c r="AE136" s="41" t="s">
        <v>87</v>
      </c>
      <c r="AF136" s="42" t="s">
        <v>87</v>
      </c>
      <c r="AG136" s="42" t="s">
        <v>87</v>
      </c>
      <c r="AH136" s="42" t="s">
        <v>87</v>
      </c>
      <c r="AI136" s="43" t="s">
        <v>87</v>
      </c>
      <c r="AJ136" s="44"/>
      <c r="AK136" s="45"/>
      <c r="AL136" s="45"/>
      <c r="AM136" s="45"/>
      <c r="AN136" s="46"/>
      <c r="AO136" s="47"/>
      <c r="AP136" s="48"/>
      <c r="AQ136" s="48"/>
      <c r="AR136" s="48"/>
      <c r="AS136" s="48"/>
      <c r="AT136" s="49"/>
      <c r="AU136" s="50"/>
      <c r="AV136" s="51"/>
      <c r="AW136" s="51"/>
      <c r="AX136" s="52"/>
      <c r="AY136" s="53"/>
      <c r="AZ136" s="80"/>
      <c r="BA136" s="54"/>
      <c r="BB136" s="55"/>
      <c r="BC136" s="55"/>
      <c r="BD136" s="55"/>
      <c r="BE136" s="55"/>
      <c r="BF136" s="55"/>
      <c r="BG136" s="56"/>
      <c r="BH136" s="57" t="s">
        <v>87</v>
      </c>
      <c r="BI136" s="58" t="s">
        <v>87</v>
      </c>
      <c r="BJ136" s="58" t="s">
        <v>87</v>
      </c>
      <c r="BK136" s="58" t="s">
        <v>87</v>
      </c>
      <c r="BL136" s="58" t="s">
        <v>87</v>
      </c>
      <c r="BM136" s="58" t="s">
        <v>87</v>
      </c>
      <c r="BN136" s="58" t="s">
        <v>87</v>
      </c>
      <c r="BO136" s="58" t="s">
        <v>87</v>
      </c>
    </row>
    <row r="137" spans="1:67" ht="28.5" customHeight="1" x14ac:dyDescent="0.35">
      <c r="A137" s="66" t="s">
        <v>750</v>
      </c>
      <c r="B137" s="66" t="s">
        <v>751</v>
      </c>
      <c r="C137" s="66" t="s">
        <v>80</v>
      </c>
      <c r="D137" s="66" t="s">
        <v>752</v>
      </c>
      <c r="E137" s="66" t="s">
        <v>132</v>
      </c>
      <c r="F137" s="66" t="s">
        <v>753</v>
      </c>
      <c r="G137" s="66">
        <v>5000</v>
      </c>
      <c r="H137" s="67" t="s">
        <v>754</v>
      </c>
      <c r="I137" s="67"/>
      <c r="J137" s="68" t="s">
        <v>755</v>
      </c>
      <c r="K137" s="68" t="s">
        <v>756</v>
      </c>
      <c r="L137" s="59"/>
      <c r="M137" s="60"/>
      <c r="N137" s="60"/>
      <c r="O137" s="60"/>
      <c r="P137" s="60"/>
      <c r="Q137" s="61"/>
      <c r="R137" s="32"/>
      <c r="S137" s="33"/>
      <c r="T137" s="33"/>
      <c r="U137" s="33"/>
      <c r="V137" s="34"/>
      <c r="W137" s="35"/>
      <c r="X137" s="36" t="s">
        <v>87</v>
      </c>
      <c r="Y137" s="36" t="s">
        <v>87</v>
      </c>
      <c r="Z137" s="36"/>
      <c r="AA137" s="37"/>
      <c r="AB137" s="38"/>
      <c r="AC137" s="39"/>
      <c r="AD137" s="40"/>
      <c r="AE137" s="41"/>
      <c r="AF137" s="42"/>
      <c r="AG137" s="42"/>
      <c r="AH137" s="42"/>
      <c r="AI137" s="43"/>
      <c r="AJ137" s="44"/>
      <c r="AK137" s="45"/>
      <c r="AL137" s="45"/>
      <c r="AM137" s="45"/>
      <c r="AN137" s="46"/>
      <c r="AO137" s="47"/>
      <c r="AP137" s="48"/>
      <c r="AQ137" s="48"/>
      <c r="AR137" s="48"/>
      <c r="AS137" s="48"/>
      <c r="AT137" s="49"/>
      <c r="AU137" s="50"/>
      <c r="AV137" s="51"/>
      <c r="AW137" s="51"/>
      <c r="AX137" s="52"/>
      <c r="AY137" s="53"/>
      <c r="AZ137" s="80"/>
      <c r="BA137" s="54"/>
      <c r="BB137" s="55"/>
      <c r="BC137" s="55" t="s">
        <v>87</v>
      </c>
      <c r="BD137" s="55" t="s">
        <v>87</v>
      </c>
      <c r="BE137" s="55"/>
      <c r="BF137" s="55" t="s">
        <v>87</v>
      </c>
      <c r="BG137" s="56"/>
      <c r="BH137" s="57"/>
      <c r="BI137" s="58" t="s">
        <v>87</v>
      </c>
      <c r="BJ137" s="58"/>
      <c r="BK137" s="58"/>
      <c r="BL137" s="58"/>
      <c r="BM137" s="58"/>
      <c r="BN137" s="58" t="s">
        <v>87</v>
      </c>
      <c r="BO137" s="58" t="s">
        <v>87</v>
      </c>
    </row>
    <row r="138" spans="1:67" ht="28.5" customHeight="1" x14ac:dyDescent="0.35">
      <c r="A138" s="66" t="s">
        <v>757</v>
      </c>
      <c r="B138" s="66">
        <v>52058064412</v>
      </c>
      <c r="C138" s="66" t="s">
        <v>80</v>
      </c>
      <c r="D138" s="66" t="s">
        <v>758</v>
      </c>
      <c r="E138" s="66" t="s">
        <v>90</v>
      </c>
      <c r="F138" s="66" t="s">
        <v>83</v>
      </c>
      <c r="G138" s="66" t="str">
        <f>"2042"</f>
        <v>2042</v>
      </c>
      <c r="H138" s="66" t="str">
        <f>"02 9519 4392"</f>
        <v>02 9519 4392</v>
      </c>
      <c r="I138" s="66" t="str">
        <f>"0412046461"</f>
        <v>0412046461</v>
      </c>
      <c r="J138" s="68" t="s">
        <v>759</v>
      </c>
      <c r="K138" s="68" t="s">
        <v>760</v>
      </c>
      <c r="L138" s="59"/>
      <c r="M138" s="60"/>
      <c r="N138" s="60"/>
      <c r="O138" s="60"/>
      <c r="P138" s="60"/>
      <c r="Q138" s="61"/>
      <c r="R138" s="32"/>
      <c r="S138" s="33"/>
      <c r="T138" s="33"/>
      <c r="U138" s="33"/>
      <c r="V138" s="34"/>
      <c r="W138" s="35"/>
      <c r="X138" s="36"/>
      <c r="Y138" s="36"/>
      <c r="Z138" s="36"/>
      <c r="AA138" s="37"/>
      <c r="AB138" s="38"/>
      <c r="AC138" s="39"/>
      <c r="AD138" s="40"/>
      <c r="AE138" s="41"/>
      <c r="AF138" s="42"/>
      <c r="AG138" s="42"/>
      <c r="AH138" s="42"/>
      <c r="AI138" s="43"/>
      <c r="AJ138" s="44"/>
      <c r="AK138" s="45"/>
      <c r="AL138" s="45"/>
      <c r="AM138" s="45"/>
      <c r="AN138" s="46"/>
      <c r="AO138" s="47"/>
      <c r="AP138" s="48"/>
      <c r="AQ138" s="48"/>
      <c r="AR138" s="48"/>
      <c r="AS138" s="48"/>
      <c r="AT138" s="49"/>
      <c r="AU138" s="50"/>
      <c r="AV138" s="51"/>
      <c r="AW138" s="51" t="s">
        <v>87</v>
      </c>
      <c r="AX138" s="52" t="s">
        <v>87</v>
      </c>
      <c r="AY138" s="53"/>
      <c r="AZ138" s="80"/>
      <c r="BA138" s="54"/>
      <c r="BB138" s="55"/>
      <c r="BC138" s="55"/>
      <c r="BD138" s="55"/>
      <c r="BE138" s="55"/>
      <c r="BF138" s="55"/>
      <c r="BG138" s="56"/>
      <c r="BH138" s="57"/>
      <c r="BI138" s="58"/>
      <c r="BJ138" s="58"/>
      <c r="BK138" s="58"/>
      <c r="BL138" s="58"/>
      <c r="BM138" s="58"/>
      <c r="BN138" s="58"/>
      <c r="BO138" s="58"/>
    </row>
    <row r="139" spans="1:67" ht="28.5" customHeight="1" x14ac:dyDescent="0.35">
      <c r="A139" s="66" t="s">
        <v>761</v>
      </c>
      <c r="B139" s="66">
        <v>72621858160</v>
      </c>
      <c r="C139" s="66" t="s">
        <v>80</v>
      </c>
      <c r="D139" s="66" t="s">
        <v>762</v>
      </c>
      <c r="E139" s="66" t="s">
        <v>132</v>
      </c>
      <c r="F139" s="66" t="s">
        <v>83</v>
      </c>
      <c r="G139" s="66" t="str">
        <f>"2008"</f>
        <v>2008</v>
      </c>
      <c r="H139" s="66"/>
      <c r="I139" s="66" t="str">
        <f>"0431574105"</f>
        <v>0431574105</v>
      </c>
      <c r="J139" s="68" t="s">
        <v>763</v>
      </c>
      <c r="K139" s="68" t="s">
        <v>764</v>
      </c>
      <c r="L139" s="59"/>
      <c r="M139" s="60"/>
      <c r="N139" s="60"/>
      <c r="O139" s="60"/>
      <c r="P139" s="60"/>
      <c r="Q139" s="61"/>
      <c r="R139" s="32" t="s">
        <v>87</v>
      </c>
      <c r="S139" s="33" t="s">
        <v>87</v>
      </c>
      <c r="T139" s="33" t="s">
        <v>87</v>
      </c>
      <c r="U139" s="33" t="s">
        <v>87</v>
      </c>
      <c r="V139" s="34" t="s">
        <v>87</v>
      </c>
      <c r="W139" s="35" t="s">
        <v>87</v>
      </c>
      <c r="X139" s="36" t="s">
        <v>87</v>
      </c>
      <c r="Y139" s="36"/>
      <c r="Z139" s="36" t="s">
        <v>87</v>
      </c>
      <c r="AA139" s="37"/>
      <c r="AB139" s="38"/>
      <c r="AC139" s="39"/>
      <c r="AD139" s="40"/>
      <c r="AE139" s="41"/>
      <c r="AF139" s="42"/>
      <c r="AG139" s="42"/>
      <c r="AH139" s="42"/>
      <c r="AI139" s="43"/>
      <c r="AJ139" s="44"/>
      <c r="AK139" s="45"/>
      <c r="AL139" s="45"/>
      <c r="AM139" s="45"/>
      <c r="AN139" s="46"/>
      <c r="AO139" s="47"/>
      <c r="AP139" s="48"/>
      <c r="AQ139" s="48"/>
      <c r="AR139" s="48"/>
      <c r="AS139" s="48"/>
      <c r="AT139" s="49"/>
      <c r="AU139" s="50"/>
      <c r="AV139" s="51"/>
      <c r="AW139" s="51"/>
      <c r="AX139" s="52"/>
      <c r="AY139" s="53"/>
      <c r="AZ139" s="80"/>
      <c r="BA139" s="54"/>
      <c r="BB139" s="55"/>
      <c r="BC139" s="55"/>
      <c r="BD139" s="55"/>
      <c r="BE139" s="55"/>
      <c r="BF139" s="55"/>
      <c r="BG139" s="56"/>
      <c r="BH139" s="57" t="s">
        <v>87</v>
      </c>
      <c r="BI139" s="58" t="s">
        <v>87</v>
      </c>
      <c r="BJ139" s="58" t="s">
        <v>87</v>
      </c>
      <c r="BK139" s="58" t="s">
        <v>87</v>
      </c>
      <c r="BL139" s="58" t="s">
        <v>87</v>
      </c>
      <c r="BM139" s="58" t="s">
        <v>87</v>
      </c>
      <c r="BN139" s="58" t="s">
        <v>87</v>
      </c>
      <c r="BO139" s="58" t="s">
        <v>87</v>
      </c>
    </row>
    <row r="140" spans="1:67" ht="28.5" customHeight="1" x14ac:dyDescent="0.35">
      <c r="A140" s="66" t="s">
        <v>765</v>
      </c>
      <c r="B140" s="66">
        <v>27122581668</v>
      </c>
      <c r="C140" s="66" t="s">
        <v>80</v>
      </c>
      <c r="D140" s="66" t="s">
        <v>766</v>
      </c>
      <c r="E140" s="66" t="s">
        <v>476</v>
      </c>
      <c r="F140" s="66" t="s">
        <v>83</v>
      </c>
      <c r="G140" s="66">
        <v>2093</v>
      </c>
      <c r="H140" s="67"/>
      <c r="I140" s="67" t="s">
        <v>767</v>
      </c>
      <c r="J140" s="68" t="s">
        <v>768</v>
      </c>
      <c r="K140" s="68" t="s">
        <v>769</v>
      </c>
      <c r="L140" s="59"/>
      <c r="M140" s="60"/>
      <c r="N140" s="60"/>
      <c r="O140" s="60"/>
      <c r="P140" s="60"/>
      <c r="Q140" s="61"/>
      <c r="R140" s="32"/>
      <c r="S140" s="33"/>
      <c r="T140" s="33"/>
      <c r="U140" s="33"/>
      <c r="V140" s="34"/>
      <c r="W140" s="35"/>
      <c r="X140" s="36"/>
      <c r="Y140" s="36"/>
      <c r="Z140" s="36"/>
      <c r="AA140" s="37"/>
      <c r="AB140" s="38"/>
      <c r="AC140" s="39"/>
      <c r="AD140" s="40"/>
      <c r="AE140" s="41"/>
      <c r="AF140" s="42"/>
      <c r="AG140" s="42"/>
      <c r="AH140" s="42"/>
      <c r="AI140" s="43"/>
      <c r="AJ140" s="44"/>
      <c r="AK140" s="45"/>
      <c r="AL140" s="45"/>
      <c r="AM140" s="45"/>
      <c r="AN140" s="46"/>
      <c r="AO140" s="47"/>
      <c r="AP140" s="48"/>
      <c r="AQ140" s="48"/>
      <c r="AR140" s="48"/>
      <c r="AS140" s="48"/>
      <c r="AT140" s="49"/>
      <c r="AU140" s="50"/>
      <c r="AV140" s="51"/>
      <c r="AW140" s="51"/>
      <c r="AX140" s="52"/>
      <c r="AY140" s="53"/>
      <c r="AZ140" s="80"/>
      <c r="BA140" s="54"/>
      <c r="BB140" s="55"/>
      <c r="BC140" s="55"/>
      <c r="BD140" s="55"/>
      <c r="BE140" s="55"/>
      <c r="BF140" s="55"/>
      <c r="BG140" s="56"/>
      <c r="BH140" s="57"/>
      <c r="BI140" s="58" t="s">
        <v>87</v>
      </c>
      <c r="BJ140" s="58" t="s">
        <v>87</v>
      </c>
      <c r="BK140" s="58" t="s">
        <v>87</v>
      </c>
      <c r="BL140" s="58"/>
      <c r="BM140" s="58"/>
      <c r="BN140" s="58" t="s">
        <v>87</v>
      </c>
      <c r="BO140" s="58" t="s">
        <v>87</v>
      </c>
    </row>
    <row r="141" spans="1:67" s="2" customFormat="1" ht="28.5" customHeight="1" x14ac:dyDescent="0.35">
      <c r="A141" s="66" t="s">
        <v>770</v>
      </c>
      <c r="B141" s="66">
        <v>58000205210</v>
      </c>
      <c r="C141" s="66" t="s">
        <v>80</v>
      </c>
      <c r="D141" s="66" t="s">
        <v>771</v>
      </c>
      <c r="E141" s="66" t="s">
        <v>772</v>
      </c>
      <c r="F141" s="66" t="s">
        <v>83</v>
      </c>
      <c r="G141" s="66">
        <v>2000</v>
      </c>
      <c r="H141" s="67" t="s">
        <v>773</v>
      </c>
      <c r="I141" s="67" t="s">
        <v>774</v>
      </c>
      <c r="J141" s="68" t="s">
        <v>775</v>
      </c>
      <c r="K141" s="68" t="s">
        <v>776</v>
      </c>
      <c r="L141" s="59"/>
      <c r="M141" s="60"/>
      <c r="N141" s="60"/>
      <c r="O141" s="60"/>
      <c r="P141" s="60"/>
      <c r="Q141" s="61"/>
      <c r="R141" s="32"/>
      <c r="S141" s="33"/>
      <c r="T141" s="33"/>
      <c r="U141" s="33"/>
      <c r="V141" s="34"/>
      <c r="W141" s="35"/>
      <c r="X141" s="36"/>
      <c r="Y141" s="36"/>
      <c r="Z141" s="36"/>
      <c r="AA141" s="37"/>
      <c r="AB141" s="38"/>
      <c r="AC141" s="39"/>
      <c r="AD141" s="40"/>
      <c r="AE141" s="41"/>
      <c r="AF141" s="42"/>
      <c r="AG141" s="42"/>
      <c r="AH141" s="42"/>
      <c r="AI141" s="43"/>
      <c r="AJ141" s="44"/>
      <c r="AK141" s="45"/>
      <c r="AL141" s="45"/>
      <c r="AM141" s="45"/>
      <c r="AN141" s="46"/>
      <c r="AO141" s="47"/>
      <c r="AP141" s="48"/>
      <c r="AQ141" s="48"/>
      <c r="AR141" s="48"/>
      <c r="AS141" s="48"/>
      <c r="AT141" s="49"/>
      <c r="AU141" s="50" t="s">
        <v>87</v>
      </c>
      <c r="AV141" s="51" t="s">
        <v>87</v>
      </c>
      <c r="AW141" s="51" t="s">
        <v>87</v>
      </c>
      <c r="AX141" s="52" t="s">
        <v>87</v>
      </c>
      <c r="AY141" s="53"/>
      <c r="AZ141" s="80"/>
      <c r="BA141" s="54"/>
      <c r="BB141" s="55"/>
      <c r="BC141" s="55"/>
      <c r="BD141" s="55"/>
      <c r="BE141" s="55"/>
      <c r="BF141" s="55"/>
      <c r="BG141" s="56"/>
      <c r="BH141" s="57"/>
      <c r="BI141" s="58"/>
      <c r="BJ141" s="58"/>
      <c r="BK141" s="58"/>
      <c r="BL141" s="58"/>
      <c r="BM141" s="58"/>
      <c r="BN141" s="58"/>
      <c r="BO141" s="58"/>
    </row>
    <row r="142" spans="1:67" s="64" customFormat="1" ht="28.5" customHeight="1" x14ac:dyDescent="0.35">
      <c r="A142" s="66" t="s">
        <v>777</v>
      </c>
      <c r="B142" s="66">
        <v>84149940938</v>
      </c>
      <c r="C142" s="66" t="s">
        <v>80</v>
      </c>
      <c r="D142" s="66" t="s">
        <v>778</v>
      </c>
      <c r="E142" s="66" t="s">
        <v>779</v>
      </c>
      <c r="F142" s="66" t="s">
        <v>83</v>
      </c>
      <c r="G142" s="66" t="str">
        <f>"2000"</f>
        <v>2000</v>
      </c>
      <c r="H142" s="66" t="str">
        <f>"02 9363 3188"</f>
        <v>02 9363 3188</v>
      </c>
      <c r="I142" s="66" t="str">
        <f>"0416106913"</f>
        <v>0416106913</v>
      </c>
      <c r="J142" s="68" t="s">
        <v>780</v>
      </c>
      <c r="K142" s="68" t="s">
        <v>781</v>
      </c>
      <c r="L142" s="59"/>
      <c r="M142" s="60"/>
      <c r="N142" s="60"/>
      <c r="O142" s="60"/>
      <c r="P142" s="60"/>
      <c r="Q142" s="61"/>
      <c r="R142" s="32" t="s">
        <v>87</v>
      </c>
      <c r="S142" s="33" t="s">
        <v>87</v>
      </c>
      <c r="T142" s="33" t="s">
        <v>87</v>
      </c>
      <c r="U142" s="33" t="s">
        <v>87</v>
      </c>
      <c r="V142" s="34" t="s">
        <v>87</v>
      </c>
      <c r="W142" s="35" t="s">
        <v>87</v>
      </c>
      <c r="X142" s="36" t="s">
        <v>87</v>
      </c>
      <c r="Y142" s="36"/>
      <c r="Z142" s="36" t="s">
        <v>87</v>
      </c>
      <c r="AA142" s="37" t="s">
        <v>87</v>
      </c>
      <c r="AB142" s="38"/>
      <c r="AC142" s="39"/>
      <c r="AD142" s="40"/>
      <c r="AE142" s="41"/>
      <c r="AF142" s="42"/>
      <c r="AG142" s="42"/>
      <c r="AH142" s="42"/>
      <c r="AI142" s="43"/>
      <c r="AJ142" s="44"/>
      <c r="AK142" s="45"/>
      <c r="AL142" s="45"/>
      <c r="AM142" s="45"/>
      <c r="AN142" s="46"/>
      <c r="AO142" s="47"/>
      <c r="AP142" s="48"/>
      <c r="AQ142" s="48"/>
      <c r="AR142" s="48"/>
      <c r="AS142" s="48"/>
      <c r="AT142" s="49"/>
      <c r="AU142" s="50"/>
      <c r="AV142" s="51"/>
      <c r="AW142" s="51"/>
      <c r="AX142" s="52"/>
      <c r="AY142" s="53"/>
      <c r="AZ142" s="80"/>
      <c r="BA142" s="54"/>
      <c r="BB142" s="55"/>
      <c r="BC142" s="55"/>
      <c r="BD142" s="55"/>
      <c r="BE142" s="55"/>
      <c r="BF142" s="55"/>
      <c r="BG142" s="56"/>
      <c r="BH142" s="57" t="s">
        <v>87</v>
      </c>
      <c r="BI142" s="58" t="s">
        <v>87</v>
      </c>
      <c r="BJ142" s="58" t="s">
        <v>87</v>
      </c>
      <c r="BK142" s="58" t="s">
        <v>87</v>
      </c>
      <c r="BL142" s="58" t="s">
        <v>87</v>
      </c>
      <c r="BM142" s="58" t="s">
        <v>87</v>
      </c>
      <c r="BN142" s="58" t="s">
        <v>87</v>
      </c>
      <c r="BO142" s="58" t="s">
        <v>87</v>
      </c>
    </row>
    <row r="143" spans="1:67" ht="28.5" customHeight="1" x14ac:dyDescent="0.35">
      <c r="A143" s="66" t="s">
        <v>782</v>
      </c>
      <c r="B143" s="66">
        <v>82061249509</v>
      </c>
      <c r="C143" s="66" t="s">
        <v>80</v>
      </c>
      <c r="D143" s="66" t="s">
        <v>783</v>
      </c>
      <c r="E143" s="66" t="s">
        <v>292</v>
      </c>
      <c r="F143" s="66" t="s">
        <v>83</v>
      </c>
      <c r="G143" s="66" t="str">
        <f>"2137"</f>
        <v>2137</v>
      </c>
      <c r="H143" s="66" t="str">
        <f>"02 9736 3777"</f>
        <v>02 9736 3777</v>
      </c>
      <c r="I143" s="66" t="str">
        <f>"0418177704"</f>
        <v>0418177704</v>
      </c>
      <c r="J143" s="68" t="s">
        <v>784</v>
      </c>
      <c r="K143" s="68" t="s">
        <v>785</v>
      </c>
      <c r="L143" s="59"/>
      <c r="M143" s="60"/>
      <c r="N143" s="60"/>
      <c r="O143" s="60"/>
      <c r="P143" s="60"/>
      <c r="Q143" s="61"/>
      <c r="R143" s="32"/>
      <c r="S143" s="33"/>
      <c r="T143" s="33"/>
      <c r="U143" s="33"/>
      <c r="V143" s="34"/>
      <c r="W143" s="35"/>
      <c r="X143" s="36"/>
      <c r="Y143" s="36"/>
      <c r="Z143" s="36"/>
      <c r="AA143" s="37"/>
      <c r="AB143" s="38"/>
      <c r="AC143" s="39"/>
      <c r="AD143" s="40"/>
      <c r="AE143" s="41"/>
      <c r="AF143" s="42"/>
      <c r="AG143" s="42"/>
      <c r="AH143" s="42"/>
      <c r="AI143" s="43"/>
      <c r="AJ143" s="44"/>
      <c r="AK143" s="45"/>
      <c r="AL143" s="45"/>
      <c r="AM143" s="45"/>
      <c r="AN143" s="46"/>
      <c r="AO143" s="47"/>
      <c r="AP143" s="48"/>
      <c r="AQ143" s="48"/>
      <c r="AR143" s="48"/>
      <c r="AS143" s="48"/>
      <c r="AT143" s="49"/>
      <c r="AU143" s="50" t="s">
        <v>87</v>
      </c>
      <c r="AV143" s="51" t="s">
        <v>87</v>
      </c>
      <c r="AW143" s="51" t="s">
        <v>87</v>
      </c>
      <c r="AX143" s="52" t="s">
        <v>87</v>
      </c>
      <c r="AY143" s="53"/>
      <c r="AZ143" s="80"/>
      <c r="BA143" s="54"/>
      <c r="BB143" s="55"/>
      <c r="BC143" s="55"/>
      <c r="BD143" s="55" t="s">
        <v>87</v>
      </c>
      <c r="BE143" s="55"/>
      <c r="BF143" s="55"/>
      <c r="BG143" s="56"/>
      <c r="BH143" s="57"/>
      <c r="BI143" s="58"/>
      <c r="BJ143" s="58"/>
      <c r="BK143" s="58"/>
      <c r="BL143" s="58"/>
      <c r="BM143" s="58"/>
      <c r="BN143" s="58"/>
      <c r="BO143" s="58"/>
    </row>
    <row r="144" spans="1:67" ht="28.5" customHeight="1" x14ac:dyDescent="0.35">
      <c r="A144" s="66" t="s">
        <v>786</v>
      </c>
      <c r="B144" s="66">
        <v>21642701666</v>
      </c>
      <c r="C144" s="66" t="s">
        <v>80</v>
      </c>
      <c r="D144" s="66" t="s">
        <v>787</v>
      </c>
      <c r="E144" s="66" t="s">
        <v>90</v>
      </c>
      <c r="F144" s="66" t="s">
        <v>115</v>
      </c>
      <c r="G144" s="66">
        <v>4221</v>
      </c>
      <c r="H144" s="67"/>
      <c r="I144" s="67" t="s">
        <v>788</v>
      </c>
      <c r="J144" s="68" t="s">
        <v>789</v>
      </c>
      <c r="K144" s="68" t="s">
        <v>790</v>
      </c>
      <c r="L144" s="59"/>
      <c r="M144" s="60"/>
      <c r="N144" s="60"/>
      <c r="O144" s="60"/>
      <c r="P144" s="60"/>
      <c r="Q144" s="61"/>
      <c r="R144" s="32"/>
      <c r="S144" s="33" t="s">
        <v>87</v>
      </c>
      <c r="T144" s="33" t="s">
        <v>87</v>
      </c>
      <c r="U144" s="33" t="s">
        <v>87</v>
      </c>
      <c r="V144" s="34"/>
      <c r="W144" s="35"/>
      <c r="X144" s="36"/>
      <c r="Y144" s="36"/>
      <c r="Z144" s="36"/>
      <c r="AA144" s="37"/>
      <c r="AB144" s="38"/>
      <c r="AC144" s="39"/>
      <c r="AD144" s="40"/>
      <c r="AE144" s="41"/>
      <c r="AF144" s="42"/>
      <c r="AG144" s="42"/>
      <c r="AH144" s="42"/>
      <c r="AI144" s="43"/>
      <c r="AJ144" s="44"/>
      <c r="AK144" s="45"/>
      <c r="AL144" s="45"/>
      <c r="AM144" s="45"/>
      <c r="AN144" s="46"/>
      <c r="AO144" s="47"/>
      <c r="AP144" s="48"/>
      <c r="AQ144" s="48"/>
      <c r="AR144" s="48"/>
      <c r="AS144" s="48"/>
      <c r="AT144" s="49"/>
      <c r="AU144" s="50"/>
      <c r="AV144" s="51"/>
      <c r="AW144" s="51"/>
      <c r="AX144" s="52"/>
      <c r="AY144" s="53"/>
      <c r="AZ144" s="80"/>
      <c r="BA144" s="54"/>
      <c r="BB144" s="55"/>
      <c r="BC144" s="55"/>
      <c r="BD144" s="55"/>
      <c r="BE144" s="55"/>
      <c r="BF144" s="55"/>
      <c r="BG144" s="56"/>
      <c r="BH144" s="57"/>
      <c r="BI144" s="58"/>
      <c r="BJ144" s="58"/>
      <c r="BK144" s="58"/>
      <c r="BL144" s="58"/>
      <c r="BM144" s="58"/>
      <c r="BN144" s="58"/>
      <c r="BO144" s="58"/>
    </row>
    <row r="145" spans="1:67" ht="28.5" customHeight="1" x14ac:dyDescent="0.35">
      <c r="A145" s="66" t="s">
        <v>791</v>
      </c>
      <c r="B145" s="66">
        <v>70120236884</v>
      </c>
      <c r="C145" s="66" t="s">
        <v>80</v>
      </c>
      <c r="D145" s="66" t="s">
        <v>792</v>
      </c>
      <c r="E145" s="66" t="s">
        <v>90</v>
      </c>
      <c r="F145" s="66" t="s">
        <v>83</v>
      </c>
      <c r="G145" s="66" t="str">
        <f>"2050"</f>
        <v>2050</v>
      </c>
      <c r="H145" s="66" t="str">
        <f>"02 9555 6115"</f>
        <v>02 9555 6115</v>
      </c>
      <c r="I145" s="66" t="str">
        <f>"0404495947"</f>
        <v>0404495947</v>
      </c>
      <c r="J145" s="68" t="s">
        <v>793</v>
      </c>
      <c r="K145" s="68" t="s">
        <v>794</v>
      </c>
      <c r="L145" s="59" t="s">
        <v>87</v>
      </c>
      <c r="M145" s="60" t="s">
        <v>87</v>
      </c>
      <c r="N145" s="60" t="s">
        <v>87</v>
      </c>
      <c r="O145" s="60" t="s">
        <v>87</v>
      </c>
      <c r="P145" s="60" t="s">
        <v>87</v>
      </c>
      <c r="Q145" s="61" t="s">
        <v>87</v>
      </c>
      <c r="R145" s="32" t="s">
        <v>87</v>
      </c>
      <c r="S145" s="33" t="s">
        <v>87</v>
      </c>
      <c r="T145" s="33" t="s">
        <v>87</v>
      </c>
      <c r="U145" s="33" t="s">
        <v>87</v>
      </c>
      <c r="V145" s="34" t="s">
        <v>87</v>
      </c>
      <c r="W145" s="35" t="s">
        <v>87</v>
      </c>
      <c r="X145" s="36" t="s">
        <v>87</v>
      </c>
      <c r="Y145" s="36" t="s">
        <v>87</v>
      </c>
      <c r="Z145" s="36" t="s">
        <v>87</v>
      </c>
      <c r="AA145" s="37" t="s">
        <v>87</v>
      </c>
      <c r="AB145" s="38"/>
      <c r="AC145" s="39"/>
      <c r="AD145" s="40"/>
      <c r="AE145" s="41"/>
      <c r="AF145" s="42"/>
      <c r="AG145" s="42"/>
      <c r="AH145" s="42"/>
      <c r="AI145" s="43"/>
      <c r="AJ145" s="44"/>
      <c r="AK145" s="45"/>
      <c r="AL145" s="45"/>
      <c r="AM145" s="45"/>
      <c r="AN145" s="46"/>
      <c r="AO145" s="47"/>
      <c r="AP145" s="48"/>
      <c r="AQ145" s="48"/>
      <c r="AR145" s="48"/>
      <c r="AS145" s="48"/>
      <c r="AT145" s="49"/>
      <c r="AU145" s="50" t="s">
        <v>87</v>
      </c>
      <c r="AV145" s="51" t="s">
        <v>87</v>
      </c>
      <c r="AW145" s="51" t="s">
        <v>87</v>
      </c>
      <c r="AX145" s="52" t="s">
        <v>87</v>
      </c>
      <c r="AY145" s="53"/>
      <c r="AZ145" s="80"/>
      <c r="BA145" s="54"/>
      <c r="BB145" s="55"/>
      <c r="BC145" s="55" t="s">
        <v>87</v>
      </c>
      <c r="BD145" s="55" t="s">
        <v>87</v>
      </c>
      <c r="BE145" s="55"/>
      <c r="BF145" s="55"/>
      <c r="BG145" s="56"/>
      <c r="BH145" s="57"/>
      <c r="BI145" s="58"/>
      <c r="BJ145" s="58"/>
      <c r="BK145" s="58"/>
      <c r="BL145" s="58"/>
      <c r="BM145" s="58"/>
      <c r="BN145" s="58"/>
      <c r="BO145" s="58"/>
    </row>
    <row r="146" spans="1:67" ht="28.5" customHeight="1" x14ac:dyDescent="0.35">
      <c r="A146" s="66" t="s">
        <v>795</v>
      </c>
      <c r="B146" s="66">
        <v>57869738375</v>
      </c>
      <c r="C146" s="66" t="s">
        <v>80</v>
      </c>
      <c r="D146" s="66" t="s">
        <v>796</v>
      </c>
      <c r="E146" s="66" t="s">
        <v>90</v>
      </c>
      <c r="F146" s="66" t="s">
        <v>379</v>
      </c>
      <c r="G146" s="66" t="str">
        <f>"3205"</f>
        <v>3205</v>
      </c>
      <c r="H146" s="66" t="str">
        <f>"1300 191 950"</f>
        <v>1300 191 950</v>
      </c>
      <c r="I146" s="66" t="str">
        <f>"0413917113"</f>
        <v>0413917113</v>
      </c>
      <c r="J146" s="68" t="s">
        <v>797</v>
      </c>
      <c r="K146" s="68" t="s">
        <v>798</v>
      </c>
      <c r="L146" s="59"/>
      <c r="M146" s="60"/>
      <c r="N146" s="60"/>
      <c r="O146" s="60"/>
      <c r="P146" s="60"/>
      <c r="Q146" s="61"/>
      <c r="R146" s="32" t="s">
        <v>87</v>
      </c>
      <c r="S146" s="33" t="s">
        <v>87</v>
      </c>
      <c r="T146" s="33" t="s">
        <v>87</v>
      </c>
      <c r="U146" s="33" t="s">
        <v>87</v>
      </c>
      <c r="V146" s="34" t="s">
        <v>87</v>
      </c>
      <c r="W146" s="35" t="s">
        <v>87</v>
      </c>
      <c r="X146" s="36" t="s">
        <v>87</v>
      </c>
      <c r="Y146" s="36" t="s">
        <v>87</v>
      </c>
      <c r="Z146" s="36"/>
      <c r="AA146" s="37" t="s">
        <v>87</v>
      </c>
      <c r="AB146" s="38"/>
      <c r="AC146" s="39"/>
      <c r="AD146" s="40"/>
      <c r="AE146" s="41"/>
      <c r="AF146" s="42"/>
      <c r="AG146" s="42"/>
      <c r="AH146" s="42"/>
      <c r="AI146" s="43"/>
      <c r="AJ146" s="44"/>
      <c r="AK146" s="45"/>
      <c r="AL146" s="45"/>
      <c r="AM146" s="45"/>
      <c r="AN146" s="46"/>
      <c r="AO146" s="47"/>
      <c r="AP146" s="48"/>
      <c r="AQ146" s="48"/>
      <c r="AR146" s="48"/>
      <c r="AS146" s="48"/>
      <c r="AT146" s="49"/>
      <c r="AU146" s="50"/>
      <c r="AV146" s="51"/>
      <c r="AW146" s="51"/>
      <c r="AX146" s="52"/>
      <c r="AY146" s="53"/>
      <c r="AZ146" s="80"/>
      <c r="BA146" s="54" t="s">
        <v>87</v>
      </c>
      <c r="BB146" s="55" t="s">
        <v>87</v>
      </c>
      <c r="BC146" s="55" t="s">
        <v>87</v>
      </c>
      <c r="BD146" s="55" t="s">
        <v>87</v>
      </c>
      <c r="BE146" s="55" t="s">
        <v>87</v>
      </c>
      <c r="BF146" s="55" t="s">
        <v>87</v>
      </c>
      <c r="BG146" s="56" t="s">
        <v>87</v>
      </c>
      <c r="BH146" s="57"/>
      <c r="BI146" s="58"/>
      <c r="BJ146" s="58"/>
      <c r="BK146" s="58"/>
      <c r="BL146" s="58"/>
      <c r="BM146" s="58"/>
      <c r="BN146" s="58"/>
      <c r="BO146" s="58"/>
    </row>
    <row r="147" spans="1:67" ht="28.5" customHeight="1" x14ac:dyDescent="0.35">
      <c r="A147" s="66" t="s">
        <v>799</v>
      </c>
      <c r="B147" s="66">
        <v>60003687581</v>
      </c>
      <c r="C147" s="66" t="s">
        <v>80</v>
      </c>
      <c r="D147" s="66" t="s">
        <v>800</v>
      </c>
      <c r="E147" s="66" t="s">
        <v>801</v>
      </c>
      <c r="F147" s="66" t="s">
        <v>83</v>
      </c>
      <c r="G147" s="66" t="str">
        <f>"2000"</f>
        <v>2000</v>
      </c>
      <c r="H147" s="66" t="str">
        <f>"02 9955 5040"</f>
        <v>02 9955 5040</v>
      </c>
      <c r="I147" s="66" t="str">
        <f>"0433886075"</f>
        <v>0433886075</v>
      </c>
      <c r="J147" s="68" t="s">
        <v>802</v>
      </c>
      <c r="K147" s="68" t="s">
        <v>803</v>
      </c>
      <c r="L147" s="59"/>
      <c r="M147" s="60"/>
      <c r="N147" s="60"/>
      <c r="O147" s="60"/>
      <c r="P147" s="60"/>
      <c r="Q147" s="61"/>
      <c r="R147" s="32" t="s">
        <v>87</v>
      </c>
      <c r="S147" s="33" t="s">
        <v>87</v>
      </c>
      <c r="T147" s="33" t="s">
        <v>87</v>
      </c>
      <c r="U147" s="33" t="s">
        <v>87</v>
      </c>
      <c r="V147" s="34" t="s">
        <v>87</v>
      </c>
      <c r="W147" s="35"/>
      <c r="X147" s="36"/>
      <c r="Y147" s="36"/>
      <c r="Z147" s="36"/>
      <c r="AA147" s="37"/>
      <c r="AB147" s="38" t="s">
        <v>87</v>
      </c>
      <c r="AC147" s="39" t="s">
        <v>87</v>
      </c>
      <c r="AD147" s="40" t="s">
        <v>87</v>
      </c>
      <c r="AE147" s="41"/>
      <c r="AF147" s="42"/>
      <c r="AG147" s="42"/>
      <c r="AH147" s="42"/>
      <c r="AI147" s="43"/>
      <c r="AJ147" s="44"/>
      <c r="AK147" s="45"/>
      <c r="AL147" s="45"/>
      <c r="AM147" s="45"/>
      <c r="AN147" s="46"/>
      <c r="AO147" s="47"/>
      <c r="AP147" s="48"/>
      <c r="AQ147" s="48"/>
      <c r="AR147" s="48"/>
      <c r="AS147" s="48"/>
      <c r="AT147" s="49"/>
      <c r="AU147" s="50"/>
      <c r="AV147" s="51"/>
      <c r="AW147" s="51"/>
      <c r="AX147" s="52"/>
      <c r="AY147" s="53" t="s">
        <v>87</v>
      </c>
      <c r="AZ147" s="80" t="s">
        <v>87</v>
      </c>
      <c r="BA147" s="54"/>
      <c r="BB147" s="55"/>
      <c r="BC147" s="55"/>
      <c r="BD147" s="55"/>
      <c r="BE147" s="55"/>
      <c r="BF147" s="55"/>
      <c r="BG147" s="56"/>
      <c r="BH147" s="57"/>
      <c r="BI147" s="58"/>
      <c r="BJ147" s="58"/>
      <c r="BK147" s="58"/>
      <c r="BL147" s="58"/>
      <c r="BM147" s="58"/>
      <c r="BN147" s="58"/>
      <c r="BO147" s="58"/>
    </row>
    <row r="148" spans="1:67" ht="28.5" customHeight="1" x14ac:dyDescent="0.35">
      <c r="A148" s="66" t="s">
        <v>804</v>
      </c>
      <c r="B148" s="66">
        <v>61197928583</v>
      </c>
      <c r="C148" s="66" t="s">
        <v>80</v>
      </c>
      <c r="D148" s="66" t="s">
        <v>805</v>
      </c>
      <c r="E148" s="66" t="s">
        <v>90</v>
      </c>
      <c r="F148" s="66" t="s">
        <v>83</v>
      </c>
      <c r="G148" s="66" t="str">
        <f>"2087"</f>
        <v>2087</v>
      </c>
      <c r="H148" s="66" t="str">
        <f>"02 9975 5075"</f>
        <v>02 9975 5075</v>
      </c>
      <c r="I148" s="66" t="str">
        <f>"0404032330"</f>
        <v>0404032330</v>
      </c>
      <c r="J148" s="68" t="s">
        <v>806</v>
      </c>
      <c r="K148" s="68" t="s">
        <v>807</v>
      </c>
      <c r="L148" s="59"/>
      <c r="M148" s="60"/>
      <c r="N148" s="60"/>
      <c r="O148" s="60"/>
      <c r="P148" s="60"/>
      <c r="Q148" s="61"/>
      <c r="R148" s="32"/>
      <c r="S148" s="33"/>
      <c r="T148" s="33"/>
      <c r="U148" s="33"/>
      <c r="V148" s="34"/>
      <c r="W148" s="35"/>
      <c r="X148" s="36"/>
      <c r="Y148" s="36"/>
      <c r="Z148" s="36"/>
      <c r="AA148" s="37"/>
      <c r="AB148" s="38"/>
      <c r="AC148" s="39"/>
      <c r="AD148" s="40"/>
      <c r="AE148" s="41"/>
      <c r="AF148" s="42"/>
      <c r="AG148" s="42"/>
      <c r="AH148" s="42"/>
      <c r="AI148" s="43"/>
      <c r="AJ148" s="44"/>
      <c r="AK148" s="45"/>
      <c r="AL148" s="45"/>
      <c r="AM148" s="45"/>
      <c r="AN148" s="46"/>
      <c r="AO148" s="47"/>
      <c r="AP148" s="48"/>
      <c r="AQ148" s="48"/>
      <c r="AR148" s="48"/>
      <c r="AS148" s="48"/>
      <c r="AT148" s="49"/>
      <c r="AU148" s="50" t="s">
        <v>87</v>
      </c>
      <c r="AV148" s="51" t="s">
        <v>87</v>
      </c>
      <c r="AW148" s="51" t="s">
        <v>87</v>
      </c>
      <c r="AX148" s="52" t="s">
        <v>87</v>
      </c>
      <c r="AY148" s="53"/>
      <c r="AZ148" s="80"/>
      <c r="BA148" s="54"/>
      <c r="BB148" s="55"/>
      <c r="BC148" s="55"/>
      <c r="BD148" s="55"/>
      <c r="BE148" s="55"/>
      <c r="BF148" s="55"/>
      <c r="BG148" s="56"/>
      <c r="BH148" s="57" t="s">
        <v>87</v>
      </c>
      <c r="BI148" s="58"/>
      <c r="BJ148" s="58"/>
      <c r="BK148" s="58"/>
      <c r="BL148" s="58"/>
      <c r="BM148" s="58"/>
      <c r="BN148" s="58" t="s">
        <v>87</v>
      </c>
      <c r="BO148" s="58"/>
    </row>
    <row r="149" spans="1:67" ht="28.5" customHeight="1" x14ac:dyDescent="0.35">
      <c r="A149" s="66" t="s">
        <v>808</v>
      </c>
      <c r="B149" s="66">
        <v>14627495596</v>
      </c>
      <c r="C149" s="66" t="s">
        <v>80</v>
      </c>
      <c r="D149" s="66" t="s">
        <v>809</v>
      </c>
      <c r="E149" s="66" t="s">
        <v>522</v>
      </c>
      <c r="F149" s="66" t="s">
        <v>83</v>
      </c>
      <c r="G149" s="66" t="str">
        <f>"2066"</f>
        <v>2066</v>
      </c>
      <c r="H149" s="66" t="str">
        <f>"0413816660"</f>
        <v>0413816660</v>
      </c>
      <c r="I149" s="66" t="str">
        <f>"0419578804"</f>
        <v>0419578804</v>
      </c>
      <c r="J149" s="68" t="s">
        <v>810</v>
      </c>
      <c r="K149" s="68" t="s">
        <v>811</v>
      </c>
      <c r="L149" s="59"/>
      <c r="M149" s="60"/>
      <c r="N149" s="60"/>
      <c r="O149" s="60"/>
      <c r="P149" s="60"/>
      <c r="Q149" s="61"/>
      <c r="R149" s="32"/>
      <c r="S149" s="33"/>
      <c r="T149" s="33"/>
      <c r="U149" s="33"/>
      <c r="V149" s="34"/>
      <c r="W149" s="35"/>
      <c r="X149" s="36"/>
      <c r="Y149" s="36"/>
      <c r="Z149" s="36"/>
      <c r="AA149" s="37"/>
      <c r="AB149" s="38"/>
      <c r="AC149" s="39"/>
      <c r="AD149" s="40"/>
      <c r="AE149" s="41"/>
      <c r="AF149" s="42"/>
      <c r="AG149" s="42"/>
      <c r="AH149" s="42"/>
      <c r="AI149" s="43"/>
      <c r="AJ149" s="44"/>
      <c r="AK149" s="45"/>
      <c r="AL149" s="45"/>
      <c r="AM149" s="45"/>
      <c r="AN149" s="46"/>
      <c r="AO149" s="47"/>
      <c r="AP149" s="48"/>
      <c r="AQ149" s="48"/>
      <c r="AR149" s="48"/>
      <c r="AS149" s="48"/>
      <c r="AT149" s="49"/>
      <c r="AU149" s="50"/>
      <c r="AV149" s="51"/>
      <c r="AW149" s="51"/>
      <c r="AX149" s="52"/>
      <c r="AY149" s="53"/>
      <c r="AZ149" s="80"/>
      <c r="BA149" s="54"/>
      <c r="BB149" s="55"/>
      <c r="BC149" s="55"/>
      <c r="BD149" s="55"/>
      <c r="BE149" s="55"/>
      <c r="BF149" s="55"/>
      <c r="BG149" s="56"/>
      <c r="BH149" s="57"/>
      <c r="BI149" s="58" t="s">
        <v>87</v>
      </c>
      <c r="BJ149" s="58"/>
      <c r="BK149" s="58"/>
      <c r="BL149" s="58" t="s">
        <v>87</v>
      </c>
      <c r="BM149" s="58" t="s">
        <v>87</v>
      </c>
      <c r="BN149" s="58" t="s">
        <v>87</v>
      </c>
      <c r="BO149" s="58" t="s">
        <v>87</v>
      </c>
    </row>
    <row r="150" spans="1:67" ht="28.5" customHeight="1" x14ac:dyDescent="0.35">
      <c r="A150" s="66" t="s">
        <v>812</v>
      </c>
      <c r="B150" s="66">
        <v>89637757807</v>
      </c>
      <c r="C150" s="66" t="s">
        <v>80</v>
      </c>
      <c r="D150" s="66" t="s">
        <v>813</v>
      </c>
      <c r="E150" s="66" t="s">
        <v>342</v>
      </c>
      <c r="F150" s="66" t="s">
        <v>83</v>
      </c>
      <c r="G150" s="66">
        <v>2481</v>
      </c>
      <c r="H150" s="66"/>
      <c r="I150" s="67" t="s">
        <v>814</v>
      </c>
      <c r="J150" s="68" t="s">
        <v>815</v>
      </c>
      <c r="K150" s="68" t="s">
        <v>816</v>
      </c>
      <c r="L150" s="59"/>
      <c r="M150" s="60"/>
      <c r="N150" s="60"/>
      <c r="O150" s="60"/>
      <c r="P150" s="60"/>
      <c r="Q150" s="61"/>
      <c r="R150" s="32" t="s">
        <v>87</v>
      </c>
      <c r="S150" s="33" t="s">
        <v>87</v>
      </c>
      <c r="T150" s="33" t="s">
        <v>87</v>
      </c>
      <c r="U150" s="33" t="s">
        <v>87</v>
      </c>
      <c r="V150" s="34" t="s">
        <v>87</v>
      </c>
      <c r="W150" s="35"/>
      <c r="X150" s="36"/>
      <c r="Y150" s="36"/>
      <c r="Z150" s="36"/>
      <c r="AA150" s="37"/>
      <c r="AB150" s="38"/>
      <c r="AC150" s="39"/>
      <c r="AD150" s="40"/>
      <c r="AE150" s="41"/>
      <c r="AF150" s="42"/>
      <c r="AG150" s="42"/>
      <c r="AH150" s="42"/>
      <c r="AI150" s="43"/>
      <c r="AJ150" s="44"/>
      <c r="AK150" s="45"/>
      <c r="AL150" s="45"/>
      <c r="AM150" s="45"/>
      <c r="AN150" s="46"/>
      <c r="AO150" s="47"/>
      <c r="AP150" s="48"/>
      <c r="AQ150" s="48"/>
      <c r="AR150" s="48"/>
      <c r="AS150" s="48"/>
      <c r="AT150" s="49"/>
      <c r="AU150" s="50" t="s">
        <v>87</v>
      </c>
      <c r="AV150" s="51" t="s">
        <v>87</v>
      </c>
      <c r="AW150" s="51" t="s">
        <v>87</v>
      </c>
      <c r="AX150" s="52" t="s">
        <v>87</v>
      </c>
      <c r="AY150" s="53"/>
      <c r="AZ150" s="80"/>
      <c r="BA150" s="54"/>
      <c r="BB150" s="55"/>
      <c r="BC150" s="55"/>
      <c r="BD150" s="55"/>
      <c r="BE150" s="55"/>
      <c r="BF150" s="55"/>
      <c r="BG150" s="56"/>
      <c r="BH150" s="57"/>
      <c r="BI150" s="58"/>
      <c r="BJ150" s="58"/>
      <c r="BK150" s="58"/>
      <c r="BL150" s="58"/>
      <c r="BM150" s="58"/>
      <c r="BN150" s="58"/>
      <c r="BO150" s="58"/>
    </row>
    <row r="151" spans="1:67" ht="28.5" customHeight="1" x14ac:dyDescent="0.35">
      <c r="A151" s="66" t="s">
        <v>817</v>
      </c>
      <c r="B151" s="66">
        <v>47646980225</v>
      </c>
      <c r="C151" s="66" t="s">
        <v>80</v>
      </c>
      <c r="D151" s="66" t="s">
        <v>818</v>
      </c>
      <c r="E151" s="66" t="s">
        <v>90</v>
      </c>
      <c r="F151" s="66" t="s">
        <v>83</v>
      </c>
      <c r="G151" s="66">
        <v>2060</v>
      </c>
      <c r="H151" s="66" t="str">
        <f>"02 9482 4408"</f>
        <v>02 9482 4408</v>
      </c>
      <c r="I151" s="66" t="str">
        <f>"0466630624"</f>
        <v>0466630624</v>
      </c>
      <c r="J151" s="68" t="s">
        <v>819</v>
      </c>
      <c r="K151" s="68" t="s">
        <v>820</v>
      </c>
      <c r="L151" s="59"/>
      <c r="M151" s="60"/>
      <c r="N151" s="60"/>
      <c r="O151" s="60"/>
      <c r="P151" s="60"/>
      <c r="Q151" s="61"/>
      <c r="R151" s="32"/>
      <c r="S151" s="33"/>
      <c r="T151" s="33"/>
      <c r="U151" s="33"/>
      <c r="V151" s="34"/>
      <c r="W151" s="35"/>
      <c r="X151" s="36"/>
      <c r="Y151" s="36"/>
      <c r="Z151" s="36"/>
      <c r="AA151" s="37"/>
      <c r="AB151" s="38"/>
      <c r="AC151" s="39"/>
      <c r="AD151" s="40"/>
      <c r="AE151" s="41"/>
      <c r="AF151" s="42"/>
      <c r="AG151" s="42"/>
      <c r="AH151" s="42"/>
      <c r="AI151" s="43"/>
      <c r="AJ151" s="44"/>
      <c r="AK151" s="45"/>
      <c r="AL151" s="45"/>
      <c r="AM151" s="45"/>
      <c r="AN151" s="46"/>
      <c r="AO151" s="47"/>
      <c r="AP151" s="48"/>
      <c r="AQ151" s="48"/>
      <c r="AR151" s="48"/>
      <c r="AS151" s="48"/>
      <c r="AT151" s="49"/>
      <c r="AU151" s="50"/>
      <c r="AV151" s="51"/>
      <c r="AW151" s="51"/>
      <c r="AX151" s="52"/>
      <c r="AY151" s="53"/>
      <c r="AZ151" s="80"/>
      <c r="BA151" s="54"/>
      <c r="BB151" s="55"/>
      <c r="BC151" s="55"/>
      <c r="BD151" s="55"/>
      <c r="BE151" s="55"/>
      <c r="BF151" s="55"/>
      <c r="BG151" s="56"/>
      <c r="BH151" s="57" t="s">
        <v>87</v>
      </c>
      <c r="BI151" s="58" t="s">
        <v>87</v>
      </c>
      <c r="BJ151" s="58" t="s">
        <v>87</v>
      </c>
      <c r="BK151" s="58" t="s">
        <v>87</v>
      </c>
      <c r="BL151" s="58" t="s">
        <v>87</v>
      </c>
      <c r="BM151" s="58" t="s">
        <v>87</v>
      </c>
      <c r="BN151" s="58" t="s">
        <v>87</v>
      </c>
      <c r="BO151" s="58" t="s">
        <v>87</v>
      </c>
    </row>
    <row r="152" spans="1:67" ht="28.5" customHeight="1" x14ac:dyDescent="0.35">
      <c r="A152" s="66" t="s">
        <v>821</v>
      </c>
      <c r="B152" s="66">
        <v>49144475641</v>
      </c>
      <c r="C152" s="66" t="s">
        <v>80</v>
      </c>
      <c r="D152" s="66" t="s">
        <v>822</v>
      </c>
      <c r="E152" s="66" t="s">
        <v>823</v>
      </c>
      <c r="F152" s="66" t="s">
        <v>83</v>
      </c>
      <c r="G152" s="66">
        <v>2060</v>
      </c>
      <c r="H152" s="67" t="s">
        <v>824</v>
      </c>
      <c r="I152" s="67" t="s">
        <v>825</v>
      </c>
      <c r="J152" s="68" t="s">
        <v>826</v>
      </c>
      <c r="K152" s="68" t="s">
        <v>827</v>
      </c>
      <c r="L152" s="59" t="s">
        <v>87</v>
      </c>
      <c r="M152" s="60"/>
      <c r="N152" s="60" t="s">
        <v>87</v>
      </c>
      <c r="O152" s="60" t="s">
        <v>87</v>
      </c>
      <c r="P152" s="60"/>
      <c r="Q152" s="61"/>
      <c r="R152" s="32"/>
      <c r="S152" s="33" t="s">
        <v>87</v>
      </c>
      <c r="T152" s="33" t="s">
        <v>87</v>
      </c>
      <c r="U152" s="33" t="s">
        <v>87</v>
      </c>
      <c r="V152" s="34"/>
      <c r="W152" s="35"/>
      <c r="X152" s="36"/>
      <c r="Y152" s="36"/>
      <c r="Z152" s="36"/>
      <c r="AA152" s="37"/>
      <c r="AB152" s="38"/>
      <c r="AC152" s="39"/>
      <c r="AD152" s="40"/>
      <c r="AE152" s="41"/>
      <c r="AF152" s="42"/>
      <c r="AG152" s="42"/>
      <c r="AH152" s="42"/>
      <c r="AI152" s="43"/>
      <c r="AJ152" s="44"/>
      <c r="AK152" s="45"/>
      <c r="AL152" s="45"/>
      <c r="AM152" s="45"/>
      <c r="AN152" s="46"/>
      <c r="AO152" s="47"/>
      <c r="AP152" s="48"/>
      <c r="AQ152" s="48"/>
      <c r="AR152" s="48"/>
      <c r="AS152" s="48"/>
      <c r="AT152" s="49"/>
      <c r="AU152" s="50"/>
      <c r="AV152" s="51"/>
      <c r="AW152" s="51"/>
      <c r="AX152" s="52"/>
      <c r="AY152" s="53"/>
      <c r="AZ152" s="80"/>
      <c r="BA152" s="54"/>
      <c r="BB152" s="55"/>
      <c r="BC152" s="55"/>
      <c r="BD152" s="55"/>
      <c r="BE152" s="55"/>
      <c r="BF152" s="55"/>
      <c r="BG152" s="56"/>
      <c r="BH152" s="57"/>
      <c r="BI152" s="58"/>
      <c r="BJ152" s="58"/>
      <c r="BK152" s="58"/>
      <c r="BL152" s="58"/>
      <c r="BM152" s="58"/>
      <c r="BN152" s="58"/>
      <c r="BO152" s="58"/>
    </row>
    <row r="153" spans="1:67" ht="28.5" customHeight="1" x14ac:dyDescent="0.35">
      <c r="A153" s="66" t="s">
        <v>828</v>
      </c>
      <c r="B153" s="66">
        <v>91069288017</v>
      </c>
      <c r="C153" s="66" t="s">
        <v>80</v>
      </c>
      <c r="D153" s="66" t="s">
        <v>829</v>
      </c>
      <c r="E153" s="66" t="s">
        <v>90</v>
      </c>
      <c r="F153" s="66" t="s">
        <v>83</v>
      </c>
      <c r="G153" s="66">
        <v>2089</v>
      </c>
      <c r="H153" s="66" t="s">
        <v>830</v>
      </c>
      <c r="I153" s="67" t="s">
        <v>831</v>
      </c>
      <c r="J153" s="68" t="s">
        <v>832</v>
      </c>
      <c r="K153" s="68" t="s">
        <v>833</v>
      </c>
      <c r="L153" s="59"/>
      <c r="M153" s="60"/>
      <c r="N153" s="60"/>
      <c r="O153" s="60"/>
      <c r="P153" s="60"/>
      <c r="Q153" s="61"/>
      <c r="R153" s="32"/>
      <c r="S153" s="33"/>
      <c r="T153" s="33"/>
      <c r="U153" s="33"/>
      <c r="V153" s="34"/>
      <c r="W153" s="35" t="s">
        <v>87</v>
      </c>
      <c r="X153" s="36" t="s">
        <v>87</v>
      </c>
      <c r="Y153" s="36" t="s">
        <v>87</v>
      </c>
      <c r="Z153" s="36" t="s">
        <v>87</v>
      </c>
      <c r="AA153" s="37" t="s">
        <v>87</v>
      </c>
      <c r="AB153" s="38"/>
      <c r="AC153" s="39"/>
      <c r="AD153" s="40"/>
      <c r="AE153" s="41"/>
      <c r="AF153" s="42"/>
      <c r="AG153" s="42"/>
      <c r="AH153" s="42"/>
      <c r="AI153" s="43"/>
      <c r="AJ153" s="44"/>
      <c r="AK153" s="45"/>
      <c r="AL153" s="45"/>
      <c r="AM153" s="45"/>
      <c r="AN153" s="46"/>
      <c r="AO153" s="47"/>
      <c r="AP153" s="48"/>
      <c r="AQ153" s="48"/>
      <c r="AR153" s="48"/>
      <c r="AS153" s="48"/>
      <c r="AT153" s="49"/>
      <c r="AU153" s="50" t="s">
        <v>87</v>
      </c>
      <c r="AV153" s="51" t="s">
        <v>87</v>
      </c>
      <c r="AW153" s="51" t="s">
        <v>87</v>
      </c>
      <c r="AX153" s="52" t="s">
        <v>87</v>
      </c>
      <c r="AY153" s="53"/>
      <c r="AZ153" s="80"/>
      <c r="BA153" s="54"/>
      <c r="BB153" s="55"/>
      <c r="BC153" s="55"/>
      <c r="BD153" s="55"/>
      <c r="BE153" s="55"/>
      <c r="BF153" s="55"/>
      <c r="BG153" s="56"/>
      <c r="BH153" s="57"/>
      <c r="BI153" s="58"/>
      <c r="BJ153" s="58"/>
      <c r="BK153" s="58"/>
      <c r="BL153" s="58"/>
      <c r="BM153" s="58"/>
      <c r="BN153" s="58"/>
      <c r="BO153" s="58"/>
    </row>
    <row r="154" spans="1:67" ht="28.5" customHeight="1" x14ac:dyDescent="0.35">
      <c r="A154" s="66" t="s">
        <v>834</v>
      </c>
      <c r="B154" s="66">
        <v>66142268451</v>
      </c>
      <c r="C154" s="66" t="s">
        <v>80</v>
      </c>
      <c r="D154" s="66" t="s">
        <v>835</v>
      </c>
      <c r="E154" s="66" t="s">
        <v>90</v>
      </c>
      <c r="F154" s="66" t="s">
        <v>83</v>
      </c>
      <c r="G154" s="66" t="str">
        <f>"2100"</f>
        <v>2100</v>
      </c>
      <c r="H154" s="66"/>
      <c r="I154" s="66" t="str">
        <f>"0422291734"</f>
        <v>0422291734</v>
      </c>
      <c r="J154" s="68" t="s">
        <v>836</v>
      </c>
      <c r="K154" s="68" t="s">
        <v>837</v>
      </c>
      <c r="L154" s="59"/>
      <c r="M154" s="60"/>
      <c r="N154" s="60"/>
      <c r="O154" s="60"/>
      <c r="P154" s="60"/>
      <c r="Q154" s="61"/>
      <c r="R154" s="32"/>
      <c r="S154" s="33"/>
      <c r="T154" s="33"/>
      <c r="U154" s="33"/>
      <c r="V154" s="34"/>
      <c r="W154" s="35"/>
      <c r="X154" s="36"/>
      <c r="Y154" s="36"/>
      <c r="Z154" s="36"/>
      <c r="AA154" s="37"/>
      <c r="AB154" s="38"/>
      <c r="AC154" s="39"/>
      <c r="AD154" s="40"/>
      <c r="AE154" s="41"/>
      <c r="AF154" s="42"/>
      <c r="AG154" s="42"/>
      <c r="AH154" s="42"/>
      <c r="AI154" s="43"/>
      <c r="AJ154" s="44"/>
      <c r="AK154" s="45"/>
      <c r="AL154" s="45"/>
      <c r="AM154" s="45"/>
      <c r="AN154" s="46"/>
      <c r="AO154" s="47"/>
      <c r="AP154" s="48"/>
      <c r="AQ154" s="48"/>
      <c r="AR154" s="48"/>
      <c r="AS154" s="48"/>
      <c r="AT154" s="49"/>
      <c r="AU154" s="50"/>
      <c r="AV154" s="51"/>
      <c r="AW154" s="51"/>
      <c r="AX154" s="52"/>
      <c r="AY154" s="53"/>
      <c r="AZ154" s="80"/>
      <c r="BA154" s="54"/>
      <c r="BB154" s="55"/>
      <c r="BC154" s="55"/>
      <c r="BD154" s="55"/>
      <c r="BE154" s="55"/>
      <c r="BF154" s="55"/>
      <c r="BG154" s="56"/>
      <c r="BH154" s="57" t="s">
        <v>87</v>
      </c>
      <c r="BI154" s="58" t="s">
        <v>87</v>
      </c>
      <c r="BJ154" s="58" t="s">
        <v>87</v>
      </c>
      <c r="BK154" s="58" t="s">
        <v>87</v>
      </c>
      <c r="BL154" s="58" t="s">
        <v>87</v>
      </c>
      <c r="BM154" s="58" t="s">
        <v>87</v>
      </c>
      <c r="BN154" s="58" t="s">
        <v>87</v>
      </c>
      <c r="BO154" s="58" t="s">
        <v>87</v>
      </c>
    </row>
    <row r="155" spans="1:67" ht="28.5" customHeight="1" x14ac:dyDescent="0.35">
      <c r="A155" s="66" t="s">
        <v>838</v>
      </c>
      <c r="B155" s="66">
        <v>40001786858</v>
      </c>
      <c r="C155" s="66" t="s">
        <v>80</v>
      </c>
      <c r="D155" s="66" t="s">
        <v>839</v>
      </c>
      <c r="E155" s="66" t="s">
        <v>840</v>
      </c>
      <c r="F155" s="66" t="s">
        <v>83</v>
      </c>
      <c r="G155" s="66">
        <v>2009</v>
      </c>
      <c r="H155" s="67" t="s">
        <v>841</v>
      </c>
      <c r="I155" s="67" t="s">
        <v>842</v>
      </c>
      <c r="J155" s="68" t="s">
        <v>843</v>
      </c>
      <c r="K155" s="68" t="s">
        <v>844</v>
      </c>
      <c r="L155" s="59"/>
      <c r="M155" s="60"/>
      <c r="N155" s="60"/>
      <c r="O155" s="60"/>
      <c r="P155" s="60"/>
      <c r="Q155" s="61"/>
      <c r="R155" s="32" t="s">
        <v>87</v>
      </c>
      <c r="S155" s="33" t="s">
        <v>87</v>
      </c>
      <c r="T155" s="33"/>
      <c r="U155" s="33"/>
      <c r="V155" s="34"/>
      <c r="W155" s="35" t="s">
        <v>87</v>
      </c>
      <c r="X155" s="36" t="s">
        <v>87</v>
      </c>
      <c r="Y155" s="36"/>
      <c r="Z155" s="36"/>
      <c r="AA155" s="37"/>
      <c r="AB155" s="38"/>
      <c r="AC155" s="39"/>
      <c r="AD155" s="40"/>
      <c r="AE155" s="41"/>
      <c r="AF155" s="42"/>
      <c r="AG155" s="42"/>
      <c r="AH155" s="42"/>
      <c r="AI155" s="43"/>
      <c r="AJ155" s="44"/>
      <c r="AK155" s="45"/>
      <c r="AL155" s="45"/>
      <c r="AM155" s="45"/>
      <c r="AN155" s="46"/>
      <c r="AO155" s="47"/>
      <c r="AP155" s="48"/>
      <c r="AQ155" s="48"/>
      <c r="AR155" s="48"/>
      <c r="AS155" s="48"/>
      <c r="AT155" s="49"/>
      <c r="AU155" s="50"/>
      <c r="AV155" s="51"/>
      <c r="AW155" s="51"/>
      <c r="AX155" s="52"/>
      <c r="AY155" s="53"/>
      <c r="AZ155" s="80"/>
      <c r="BA155" s="54"/>
      <c r="BB155" s="55"/>
      <c r="BC155" s="55"/>
      <c r="BD155" s="55"/>
      <c r="BE155" s="55"/>
      <c r="BF155" s="55"/>
      <c r="BG155" s="56"/>
      <c r="BH155" s="57"/>
      <c r="BI155" s="58"/>
      <c r="BJ155" s="58"/>
      <c r="BK155" s="58"/>
      <c r="BL155" s="58"/>
      <c r="BM155" s="58"/>
      <c r="BN155" s="58"/>
      <c r="BO155" s="58"/>
    </row>
    <row r="156" spans="1:67" ht="28.5" customHeight="1" x14ac:dyDescent="0.35">
      <c r="A156" s="66" t="s">
        <v>845</v>
      </c>
      <c r="B156" s="66">
        <v>66632431862</v>
      </c>
      <c r="C156" s="66" t="s">
        <v>80</v>
      </c>
      <c r="D156" s="66" t="s">
        <v>846</v>
      </c>
      <c r="E156" s="66" t="s">
        <v>90</v>
      </c>
      <c r="F156" s="66" t="s">
        <v>83</v>
      </c>
      <c r="G156" s="66" t="str">
        <f>"2250"</f>
        <v>2250</v>
      </c>
      <c r="H156" s="66" t="str">
        <f>"02 9064 1768"</f>
        <v>02 9064 1768</v>
      </c>
      <c r="I156" s="66" t="str">
        <f>""</f>
        <v/>
      </c>
      <c r="J156" s="68" t="s">
        <v>847</v>
      </c>
      <c r="K156" s="68" t="s">
        <v>848</v>
      </c>
      <c r="L156" s="59"/>
      <c r="M156" s="60"/>
      <c r="N156" s="60"/>
      <c r="O156" s="60"/>
      <c r="P156" s="60"/>
      <c r="Q156" s="61"/>
      <c r="R156" s="32"/>
      <c r="S156" s="33"/>
      <c r="T156" s="33"/>
      <c r="U156" s="33"/>
      <c r="V156" s="34"/>
      <c r="W156" s="35"/>
      <c r="X156" s="36"/>
      <c r="Y156" s="36"/>
      <c r="Z156" s="36"/>
      <c r="AA156" s="37"/>
      <c r="AB156" s="38"/>
      <c r="AC156" s="39"/>
      <c r="AD156" s="40"/>
      <c r="AE156" s="41"/>
      <c r="AF156" s="42" t="s">
        <v>87</v>
      </c>
      <c r="AG156" s="42"/>
      <c r="AH156" s="42"/>
      <c r="AI156" s="43" t="s">
        <v>87</v>
      </c>
      <c r="AJ156" s="44"/>
      <c r="AK156" s="45"/>
      <c r="AL156" s="45"/>
      <c r="AM156" s="45"/>
      <c r="AN156" s="46"/>
      <c r="AO156" s="47"/>
      <c r="AP156" s="48"/>
      <c r="AQ156" s="48"/>
      <c r="AR156" s="48"/>
      <c r="AS156" s="48"/>
      <c r="AT156" s="49"/>
      <c r="AU156" s="50"/>
      <c r="AV156" s="51"/>
      <c r="AW156" s="51"/>
      <c r="AX156" s="52"/>
      <c r="AY156" s="53" t="s">
        <v>87</v>
      </c>
      <c r="AZ156" s="80" t="s">
        <v>87</v>
      </c>
      <c r="BA156" s="54"/>
      <c r="BB156" s="55"/>
      <c r="BC156" s="55" t="s">
        <v>87</v>
      </c>
      <c r="BD156" s="55" t="s">
        <v>87</v>
      </c>
      <c r="BE156" s="55"/>
      <c r="BF156" s="55" t="s">
        <v>87</v>
      </c>
      <c r="BG156" s="56"/>
      <c r="BH156" s="57"/>
      <c r="BI156" s="58"/>
      <c r="BJ156" s="58"/>
      <c r="BK156" s="58"/>
      <c r="BL156" s="58"/>
      <c r="BM156" s="58"/>
      <c r="BN156" s="58"/>
      <c r="BO156" s="58"/>
    </row>
    <row r="157" spans="1:67" ht="28.5" customHeight="1" x14ac:dyDescent="0.35">
      <c r="A157" s="66" t="s">
        <v>849</v>
      </c>
      <c r="B157" s="66">
        <v>92575377609</v>
      </c>
      <c r="C157" s="66" t="s">
        <v>80</v>
      </c>
      <c r="D157" s="66" t="s">
        <v>850</v>
      </c>
      <c r="E157" s="66" t="s">
        <v>139</v>
      </c>
      <c r="F157" s="66" t="s">
        <v>83</v>
      </c>
      <c r="G157" s="66" t="str">
        <f>"2305"</f>
        <v>2305</v>
      </c>
      <c r="H157" s="66" t="str">
        <f>"02 4969 1931"</f>
        <v>02 4969 1931</v>
      </c>
      <c r="I157" s="66" t="str">
        <f>"0418691299"</f>
        <v>0418691299</v>
      </c>
      <c r="J157" s="68" t="s">
        <v>851</v>
      </c>
      <c r="K157" s="68" t="s">
        <v>852</v>
      </c>
      <c r="L157" s="59"/>
      <c r="M157" s="60"/>
      <c r="N157" s="60"/>
      <c r="O157" s="60"/>
      <c r="P157" s="60"/>
      <c r="Q157" s="61"/>
      <c r="R157" s="32"/>
      <c r="S157" s="33"/>
      <c r="T157" s="33"/>
      <c r="U157" s="33"/>
      <c r="V157" s="34"/>
      <c r="W157" s="35"/>
      <c r="X157" s="36"/>
      <c r="Y157" s="36"/>
      <c r="Z157" s="36"/>
      <c r="AA157" s="37"/>
      <c r="AB157" s="38"/>
      <c r="AC157" s="39"/>
      <c r="AD157" s="40"/>
      <c r="AE157" s="41"/>
      <c r="AF157" s="42"/>
      <c r="AG157" s="42"/>
      <c r="AH157" s="42"/>
      <c r="AI157" s="43"/>
      <c r="AJ157" s="44"/>
      <c r="AK157" s="45"/>
      <c r="AL157" s="45"/>
      <c r="AM157" s="45"/>
      <c r="AN157" s="46"/>
      <c r="AO157" s="47"/>
      <c r="AP157" s="48"/>
      <c r="AQ157" s="48"/>
      <c r="AR157" s="48"/>
      <c r="AS157" s="48"/>
      <c r="AT157" s="49"/>
      <c r="AU157" s="50"/>
      <c r="AV157" s="51"/>
      <c r="AW157" s="51"/>
      <c r="AX157" s="52"/>
      <c r="AY157" s="53"/>
      <c r="AZ157" s="80"/>
      <c r="BA157" s="54"/>
      <c r="BB157" s="55"/>
      <c r="BC157" s="55"/>
      <c r="BD157" s="55"/>
      <c r="BE157" s="55"/>
      <c r="BF157" s="55"/>
      <c r="BG157" s="56"/>
      <c r="BH157" s="57" t="s">
        <v>87</v>
      </c>
      <c r="BI157" s="58" t="s">
        <v>87</v>
      </c>
      <c r="BJ157" s="58" t="s">
        <v>87</v>
      </c>
      <c r="BK157" s="58" t="s">
        <v>87</v>
      </c>
      <c r="BL157" s="58"/>
      <c r="BM157" s="58"/>
      <c r="BN157" s="58" t="s">
        <v>87</v>
      </c>
      <c r="BO157" s="58" t="s">
        <v>87</v>
      </c>
    </row>
    <row r="158" spans="1:67" ht="28.5" customHeight="1" x14ac:dyDescent="0.35">
      <c r="A158" s="66" t="s">
        <v>853</v>
      </c>
      <c r="B158" s="66">
        <v>18106153511</v>
      </c>
      <c r="C158" s="66" t="s">
        <v>80</v>
      </c>
      <c r="D158" s="66" t="s">
        <v>854</v>
      </c>
      <c r="E158" s="66" t="s">
        <v>335</v>
      </c>
      <c r="F158" s="66" t="s">
        <v>83</v>
      </c>
      <c r="G158" s="66" t="str">
        <f>"2022"</f>
        <v>2022</v>
      </c>
      <c r="H158" s="66" t="str">
        <f>"02 8302 4200"</f>
        <v>02 8302 4200</v>
      </c>
      <c r="I158" s="67" t="s">
        <v>855</v>
      </c>
      <c r="J158" s="68" t="s">
        <v>856</v>
      </c>
      <c r="K158" s="68" t="s">
        <v>857</v>
      </c>
      <c r="L158" s="59"/>
      <c r="M158" s="60"/>
      <c r="N158" s="60"/>
      <c r="O158" s="60"/>
      <c r="P158" s="60"/>
      <c r="Q158" s="61"/>
      <c r="R158" s="32" t="s">
        <v>87</v>
      </c>
      <c r="S158" s="33" t="s">
        <v>87</v>
      </c>
      <c r="T158" s="33" t="s">
        <v>87</v>
      </c>
      <c r="U158" s="33" t="s">
        <v>87</v>
      </c>
      <c r="V158" s="34" t="s">
        <v>87</v>
      </c>
      <c r="W158" s="35" t="s">
        <v>87</v>
      </c>
      <c r="X158" s="36" t="s">
        <v>87</v>
      </c>
      <c r="Y158" s="36" t="s">
        <v>87</v>
      </c>
      <c r="Z158" s="36"/>
      <c r="AA158" s="37" t="s">
        <v>87</v>
      </c>
      <c r="AB158" s="38"/>
      <c r="AC158" s="39"/>
      <c r="AD158" s="40"/>
      <c r="AE158" s="41"/>
      <c r="AF158" s="42"/>
      <c r="AG158" s="42"/>
      <c r="AH158" s="42"/>
      <c r="AI158" s="43"/>
      <c r="AJ158" s="44"/>
      <c r="AK158" s="45"/>
      <c r="AL158" s="45"/>
      <c r="AM158" s="45"/>
      <c r="AN158" s="46"/>
      <c r="AO158" s="47"/>
      <c r="AP158" s="48"/>
      <c r="AQ158" s="48"/>
      <c r="AR158" s="48"/>
      <c r="AS158" s="48"/>
      <c r="AT158" s="49"/>
      <c r="AU158" s="50"/>
      <c r="AV158" s="51"/>
      <c r="AW158" s="51"/>
      <c r="AX158" s="52"/>
      <c r="AY158" s="53"/>
      <c r="AZ158" s="80"/>
      <c r="BA158" s="54"/>
      <c r="BB158" s="55"/>
      <c r="BC158" s="55"/>
      <c r="BD158" s="55"/>
      <c r="BE158" s="55"/>
      <c r="BF158" s="55"/>
      <c r="BG158" s="56"/>
      <c r="BH158" s="57"/>
      <c r="BI158" s="58" t="s">
        <v>87</v>
      </c>
      <c r="BJ158" s="58" t="s">
        <v>87</v>
      </c>
      <c r="BK158" s="58" t="s">
        <v>87</v>
      </c>
      <c r="BL158" s="58" t="s">
        <v>87</v>
      </c>
      <c r="BM158" s="58" t="s">
        <v>87</v>
      </c>
      <c r="BN158" s="58" t="s">
        <v>87</v>
      </c>
      <c r="BO158" s="58" t="s">
        <v>87</v>
      </c>
    </row>
    <row r="159" spans="1:67" ht="28.5" customHeight="1" x14ac:dyDescent="0.35">
      <c r="A159" s="66" t="s">
        <v>858</v>
      </c>
      <c r="B159" s="66">
        <v>98003477567</v>
      </c>
      <c r="C159" s="66" t="s">
        <v>80</v>
      </c>
      <c r="D159" s="66" t="s">
        <v>859</v>
      </c>
      <c r="E159" s="66" t="s">
        <v>152</v>
      </c>
      <c r="F159" s="66" t="s">
        <v>83</v>
      </c>
      <c r="G159" s="66" t="str">
        <f>"2008"</f>
        <v>2008</v>
      </c>
      <c r="H159" s="66" t="str">
        <f>"02 9964 7000"</f>
        <v>02 9964 7000</v>
      </c>
      <c r="I159" s="66" t="str">
        <f>"0412398103"</f>
        <v>0412398103</v>
      </c>
      <c r="J159" s="68" t="s">
        <v>860</v>
      </c>
      <c r="K159" s="68" t="s">
        <v>861</v>
      </c>
      <c r="L159" s="59"/>
      <c r="M159" s="60"/>
      <c r="N159" s="60"/>
      <c r="O159" s="60"/>
      <c r="P159" s="60"/>
      <c r="Q159" s="61"/>
      <c r="R159" s="32"/>
      <c r="S159" s="33"/>
      <c r="T159" s="33"/>
      <c r="U159" s="33"/>
      <c r="V159" s="34"/>
      <c r="W159" s="35" t="s">
        <v>87</v>
      </c>
      <c r="X159" s="36" t="s">
        <v>87</v>
      </c>
      <c r="Y159" s="36"/>
      <c r="Z159" s="36"/>
      <c r="AA159" s="37" t="s">
        <v>87</v>
      </c>
      <c r="AB159" s="38"/>
      <c r="AC159" s="39"/>
      <c r="AD159" s="40"/>
      <c r="AE159" s="41" t="s">
        <v>87</v>
      </c>
      <c r="AF159" s="42" t="s">
        <v>87</v>
      </c>
      <c r="AG159" s="42" t="s">
        <v>87</v>
      </c>
      <c r="AH159" s="42" t="s">
        <v>87</v>
      </c>
      <c r="AI159" s="43" t="s">
        <v>87</v>
      </c>
      <c r="AJ159" s="44"/>
      <c r="AK159" s="45"/>
      <c r="AL159" s="45"/>
      <c r="AM159" s="45"/>
      <c r="AN159" s="46"/>
      <c r="AO159" s="47"/>
      <c r="AP159" s="48" t="s">
        <v>87</v>
      </c>
      <c r="AQ159" s="48"/>
      <c r="AR159" s="48" t="s">
        <v>87</v>
      </c>
      <c r="AS159" s="48"/>
      <c r="AT159" s="49" t="s">
        <v>87</v>
      </c>
      <c r="AU159" s="50"/>
      <c r="AV159" s="51"/>
      <c r="AW159" s="51"/>
      <c r="AX159" s="52"/>
      <c r="AY159" s="53"/>
      <c r="AZ159" s="80"/>
      <c r="BA159" s="54"/>
      <c r="BB159" s="55"/>
      <c r="BC159" s="55"/>
      <c r="BD159" s="55"/>
      <c r="BE159" s="55"/>
      <c r="BF159" s="55"/>
      <c r="BG159" s="56"/>
      <c r="BH159" s="57"/>
      <c r="BI159" s="58"/>
      <c r="BJ159" s="58"/>
      <c r="BK159" s="58"/>
      <c r="BL159" s="58"/>
      <c r="BM159" s="58"/>
      <c r="BN159" s="58"/>
      <c r="BO159" s="58"/>
    </row>
    <row r="160" spans="1:67" ht="28.5" customHeight="1" x14ac:dyDescent="0.35">
      <c r="A160" s="66" t="s">
        <v>862</v>
      </c>
      <c r="B160" s="66">
        <v>30069431054</v>
      </c>
      <c r="C160" s="66" t="s">
        <v>80</v>
      </c>
      <c r="D160" s="66" t="s">
        <v>863</v>
      </c>
      <c r="E160" s="66" t="s">
        <v>864</v>
      </c>
      <c r="F160" s="66" t="s">
        <v>83</v>
      </c>
      <c r="G160" s="66">
        <v>2000</v>
      </c>
      <c r="H160" s="66" t="s">
        <v>865</v>
      </c>
      <c r="I160" s="67" t="s">
        <v>866</v>
      </c>
      <c r="J160" s="68" t="s">
        <v>867</v>
      </c>
      <c r="K160" s="68" t="s">
        <v>868</v>
      </c>
      <c r="L160" s="59"/>
      <c r="M160" s="60"/>
      <c r="N160" s="60"/>
      <c r="O160" s="60"/>
      <c r="P160" s="60"/>
      <c r="Q160" s="61"/>
      <c r="R160" s="32" t="s">
        <v>87</v>
      </c>
      <c r="S160" s="33" t="s">
        <v>87</v>
      </c>
      <c r="T160" s="33"/>
      <c r="U160" s="33" t="s">
        <v>87</v>
      </c>
      <c r="V160" s="34"/>
      <c r="W160" s="35" t="s">
        <v>87</v>
      </c>
      <c r="X160" s="36" t="s">
        <v>87</v>
      </c>
      <c r="Y160" s="36"/>
      <c r="Z160" s="36"/>
      <c r="AA160" s="37" t="s">
        <v>87</v>
      </c>
      <c r="AB160" s="38"/>
      <c r="AC160" s="39"/>
      <c r="AD160" s="40"/>
      <c r="AE160" s="41"/>
      <c r="AF160" s="42"/>
      <c r="AG160" s="42"/>
      <c r="AH160" s="42"/>
      <c r="AI160" s="43"/>
      <c r="AJ160" s="44"/>
      <c r="AK160" s="45"/>
      <c r="AL160" s="45"/>
      <c r="AM160" s="45"/>
      <c r="AN160" s="46"/>
      <c r="AO160" s="47"/>
      <c r="AP160" s="48"/>
      <c r="AQ160" s="48"/>
      <c r="AR160" s="48"/>
      <c r="AS160" s="48"/>
      <c r="AT160" s="49"/>
      <c r="AU160" s="50"/>
      <c r="AV160" s="51"/>
      <c r="AW160" s="51"/>
      <c r="AX160" s="52"/>
      <c r="AY160" s="53"/>
      <c r="AZ160" s="80"/>
      <c r="BA160" s="54"/>
      <c r="BB160" s="55"/>
      <c r="BC160" s="55"/>
      <c r="BD160" s="55"/>
      <c r="BE160" s="55"/>
      <c r="BF160" s="55"/>
      <c r="BG160" s="56"/>
      <c r="BH160" s="57"/>
      <c r="BI160" s="58"/>
      <c r="BJ160" s="58"/>
      <c r="BK160" s="58"/>
      <c r="BL160" s="58"/>
      <c r="BM160" s="58"/>
      <c r="BN160" s="58"/>
      <c r="BO160" s="58"/>
    </row>
    <row r="161" spans="1:67" ht="28.5" customHeight="1" x14ac:dyDescent="0.35">
      <c r="A161" s="69" t="s">
        <v>869</v>
      </c>
      <c r="B161" s="69">
        <v>52169247901</v>
      </c>
      <c r="C161" s="69" t="s">
        <v>80</v>
      </c>
      <c r="D161" s="69" t="s">
        <v>870</v>
      </c>
      <c r="E161" s="69" t="s">
        <v>871</v>
      </c>
      <c r="F161" s="69" t="s">
        <v>83</v>
      </c>
      <c r="G161" s="69">
        <v>2776</v>
      </c>
      <c r="H161" s="69"/>
      <c r="I161" s="71" t="s">
        <v>872</v>
      </c>
      <c r="J161" s="70" t="s">
        <v>873</v>
      </c>
      <c r="K161" s="70" t="s">
        <v>874</v>
      </c>
      <c r="L161" s="59"/>
      <c r="M161" s="60"/>
      <c r="N161" s="60"/>
      <c r="O161" s="60"/>
      <c r="P161" s="60"/>
      <c r="Q161" s="61"/>
      <c r="R161" s="32"/>
      <c r="S161" s="33"/>
      <c r="T161" s="33"/>
      <c r="U161" s="33"/>
      <c r="V161" s="34"/>
      <c r="W161" s="35"/>
      <c r="X161" s="36"/>
      <c r="Y161" s="36"/>
      <c r="Z161" s="36"/>
      <c r="AA161" s="37"/>
      <c r="AB161" s="38"/>
      <c r="AC161" s="39"/>
      <c r="AD161" s="40"/>
      <c r="AE161" s="41"/>
      <c r="AF161" s="42"/>
      <c r="AG161" s="42"/>
      <c r="AH161" s="42"/>
      <c r="AI161" s="43"/>
      <c r="AJ161" s="44"/>
      <c r="AK161" s="45"/>
      <c r="AL161" s="45"/>
      <c r="AM161" s="45"/>
      <c r="AN161" s="46"/>
      <c r="AO161" s="47"/>
      <c r="AP161" s="48"/>
      <c r="AQ161" s="48"/>
      <c r="AR161" s="48"/>
      <c r="AS161" s="48"/>
      <c r="AT161" s="49"/>
      <c r="AU161" s="50"/>
      <c r="AV161" s="51"/>
      <c r="AW161" s="51"/>
      <c r="AX161" s="52"/>
      <c r="AY161" s="53"/>
      <c r="AZ161" s="80"/>
      <c r="BA161" s="54"/>
      <c r="BB161" s="55"/>
      <c r="BC161" s="55"/>
      <c r="BD161" s="55"/>
      <c r="BE161" s="55"/>
      <c r="BF161" s="55"/>
      <c r="BG161" s="56"/>
      <c r="BH161" s="57" t="s">
        <v>87</v>
      </c>
      <c r="BI161" s="58" t="s">
        <v>87</v>
      </c>
      <c r="BJ161" s="58" t="s">
        <v>87</v>
      </c>
      <c r="BK161" s="58" t="s">
        <v>87</v>
      </c>
      <c r="BL161" s="58"/>
      <c r="BM161" s="58"/>
      <c r="BN161" s="58" t="s">
        <v>87</v>
      </c>
      <c r="BO161" s="58" t="s">
        <v>87</v>
      </c>
    </row>
    <row r="162" spans="1:67" ht="28.5" customHeight="1" x14ac:dyDescent="0.35">
      <c r="A162" s="66" t="s">
        <v>875</v>
      </c>
      <c r="B162" s="66">
        <v>14621976181</v>
      </c>
      <c r="C162" s="66" t="s">
        <v>80</v>
      </c>
      <c r="D162" s="66" t="s">
        <v>876</v>
      </c>
      <c r="E162" s="66" t="s">
        <v>877</v>
      </c>
      <c r="F162" s="66" t="s">
        <v>83</v>
      </c>
      <c r="G162" s="66">
        <v>2039</v>
      </c>
      <c r="H162" s="67"/>
      <c r="I162" s="67" t="s">
        <v>878</v>
      </c>
      <c r="J162" s="68" t="s">
        <v>879</v>
      </c>
      <c r="K162" s="68" t="s">
        <v>880</v>
      </c>
      <c r="L162" s="59"/>
      <c r="M162" s="60"/>
      <c r="N162" s="60"/>
      <c r="O162" s="60"/>
      <c r="P162" s="60"/>
      <c r="Q162" s="61"/>
      <c r="R162" s="32"/>
      <c r="S162" s="33"/>
      <c r="T162" s="33"/>
      <c r="U162" s="33"/>
      <c r="V162" s="34"/>
      <c r="W162" s="35"/>
      <c r="X162" s="36"/>
      <c r="Y162" s="36"/>
      <c r="Z162" s="36"/>
      <c r="AA162" s="37"/>
      <c r="AB162" s="38"/>
      <c r="AC162" s="39"/>
      <c r="AD162" s="40"/>
      <c r="AE162" s="41"/>
      <c r="AF162" s="42"/>
      <c r="AG162" s="42"/>
      <c r="AH162" s="42"/>
      <c r="AI162" s="43"/>
      <c r="AJ162" s="44"/>
      <c r="AK162" s="45"/>
      <c r="AL162" s="45"/>
      <c r="AM162" s="45"/>
      <c r="AN162" s="46"/>
      <c r="AO162" s="47"/>
      <c r="AP162" s="48"/>
      <c r="AQ162" s="48"/>
      <c r="AR162" s="48"/>
      <c r="AS162" s="48"/>
      <c r="AT162" s="49"/>
      <c r="AU162" s="50"/>
      <c r="AV162" s="51"/>
      <c r="AW162" s="51"/>
      <c r="AX162" s="52"/>
      <c r="AY162" s="53"/>
      <c r="AZ162" s="80"/>
      <c r="BA162" s="54"/>
      <c r="BB162" s="55"/>
      <c r="BC162" s="55"/>
      <c r="BD162" s="55"/>
      <c r="BE162" s="55"/>
      <c r="BF162" s="55"/>
      <c r="BG162" s="56"/>
      <c r="BH162" s="57"/>
      <c r="BI162" s="58" t="s">
        <v>87</v>
      </c>
      <c r="BJ162" s="58" t="s">
        <v>87</v>
      </c>
      <c r="BK162" s="58" t="s">
        <v>87</v>
      </c>
      <c r="BL162" s="58"/>
      <c r="BM162" s="58"/>
      <c r="BN162" s="58"/>
      <c r="BO162" s="58"/>
    </row>
    <row r="163" spans="1:67" ht="28.5" customHeight="1" x14ac:dyDescent="0.35">
      <c r="A163" s="69" t="s">
        <v>881</v>
      </c>
      <c r="B163" s="69" t="s">
        <v>882</v>
      </c>
      <c r="C163" s="69" t="s">
        <v>80</v>
      </c>
      <c r="D163" s="69" t="s">
        <v>883</v>
      </c>
      <c r="E163" s="69" t="s">
        <v>884</v>
      </c>
      <c r="F163" s="69" t="s">
        <v>83</v>
      </c>
      <c r="G163" s="69">
        <v>2026</v>
      </c>
      <c r="H163" s="71"/>
      <c r="I163" s="71" t="s">
        <v>885</v>
      </c>
      <c r="J163" s="70" t="s">
        <v>886</v>
      </c>
      <c r="K163" s="70" t="s">
        <v>887</v>
      </c>
      <c r="L163" s="59"/>
      <c r="M163" s="60"/>
      <c r="N163" s="60"/>
      <c r="O163" s="60"/>
      <c r="P163" s="60"/>
      <c r="Q163" s="61"/>
      <c r="R163" s="32"/>
      <c r="S163" s="33"/>
      <c r="T163" s="33" t="s">
        <v>87</v>
      </c>
      <c r="U163" s="33" t="s">
        <v>87</v>
      </c>
      <c r="V163" s="34"/>
      <c r="W163" s="35"/>
      <c r="X163" s="36"/>
      <c r="Y163" s="36"/>
      <c r="Z163" s="36"/>
      <c r="AA163" s="37"/>
      <c r="AB163" s="38"/>
      <c r="AC163" s="39"/>
      <c r="AD163" s="40"/>
      <c r="AE163" s="41"/>
      <c r="AF163" s="42"/>
      <c r="AG163" s="42"/>
      <c r="AH163" s="42"/>
      <c r="AI163" s="43"/>
      <c r="AJ163" s="44"/>
      <c r="AK163" s="45"/>
      <c r="AL163" s="45"/>
      <c r="AM163" s="45"/>
      <c r="AN163" s="46"/>
      <c r="AO163" s="47"/>
      <c r="AP163" s="48"/>
      <c r="AQ163" s="48"/>
      <c r="AR163" s="48"/>
      <c r="AS163" s="48"/>
      <c r="AT163" s="49"/>
      <c r="AU163" s="50"/>
      <c r="AV163" s="51"/>
      <c r="AW163" s="51"/>
      <c r="AX163" s="52"/>
      <c r="AY163" s="53"/>
      <c r="AZ163" s="80"/>
      <c r="BA163" s="54"/>
      <c r="BB163" s="55"/>
      <c r="BC163" s="55" t="s">
        <v>87</v>
      </c>
      <c r="BD163" s="55" t="s">
        <v>87</v>
      </c>
      <c r="BE163" s="55"/>
      <c r="BF163" s="55" t="s">
        <v>87</v>
      </c>
      <c r="BG163" s="56"/>
      <c r="BH163" s="57" t="s">
        <v>87</v>
      </c>
      <c r="BI163" s="58" t="s">
        <v>87</v>
      </c>
      <c r="BJ163" s="58"/>
      <c r="BK163" s="58"/>
      <c r="BL163" s="58"/>
      <c r="BM163" s="58"/>
      <c r="BN163" s="58" t="s">
        <v>87</v>
      </c>
      <c r="BO163" s="58" t="s">
        <v>87</v>
      </c>
    </row>
    <row r="164" spans="1:67" ht="28.5" customHeight="1" x14ac:dyDescent="0.35">
      <c r="A164" s="66" t="s">
        <v>888</v>
      </c>
      <c r="B164" s="66">
        <v>56097951794</v>
      </c>
      <c r="C164" s="66" t="s">
        <v>80</v>
      </c>
      <c r="D164" s="66" t="s">
        <v>889</v>
      </c>
      <c r="E164" s="66" t="s">
        <v>90</v>
      </c>
      <c r="F164" s="66" t="s">
        <v>83</v>
      </c>
      <c r="G164" s="66" t="str">
        <f>"2000"</f>
        <v>2000</v>
      </c>
      <c r="H164" s="66" t="str">
        <f>"02 9955 5522"</f>
        <v>02 9955 5522</v>
      </c>
      <c r="I164" s="66" t="str">
        <f>"0438627579"</f>
        <v>0438627579</v>
      </c>
      <c r="J164" s="68" t="s">
        <v>890</v>
      </c>
      <c r="K164" s="68" t="s">
        <v>891</v>
      </c>
      <c r="L164" s="59"/>
      <c r="M164" s="60"/>
      <c r="N164" s="60"/>
      <c r="O164" s="60"/>
      <c r="P164" s="60"/>
      <c r="Q164" s="61"/>
      <c r="R164" s="32"/>
      <c r="S164" s="33"/>
      <c r="T164" s="33"/>
      <c r="U164" s="33"/>
      <c r="V164" s="34"/>
      <c r="W164" s="35"/>
      <c r="X164" s="36" t="s">
        <v>87</v>
      </c>
      <c r="Y164" s="36"/>
      <c r="Z164" s="36"/>
      <c r="AA164" s="37"/>
      <c r="AB164" s="38" t="s">
        <v>87</v>
      </c>
      <c r="AC164" s="39"/>
      <c r="AD164" s="40"/>
      <c r="AE164" s="41"/>
      <c r="AF164" s="42"/>
      <c r="AG164" s="42"/>
      <c r="AH164" s="42"/>
      <c r="AI164" s="43"/>
      <c r="AJ164" s="44"/>
      <c r="AK164" s="45"/>
      <c r="AL164" s="45"/>
      <c r="AM164" s="45"/>
      <c r="AN164" s="46"/>
      <c r="AO164" s="47"/>
      <c r="AP164" s="48"/>
      <c r="AQ164" s="48"/>
      <c r="AR164" s="48"/>
      <c r="AS164" s="48"/>
      <c r="AT164" s="49"/>
      <c r="AU164" s="50"/>
      <c r="AV164" s="51"/>
      <c r="AW164" s="51"/>
      <c r="AX164" s="52"/>
      <c r="AY164" s="53"/>
      <c r="AZ164" s="80"/>
      <c r="BA164" s="54"/>
      <c r="BB164" s="55"/>
      <c r="BC164" s="55"/>
      <c r="BD164" s="55" t="s">
        <v>87</v>
      </c>
      <c r="BE164" s="55"/>
      <c r="BF164" s="55"/>
      <c r="BG164" s="56"/>
      <c r="BH164" s="57"/>
      <c r="BI164" s="58"/>
      <c r="BJ164" s="58"/>
      <c r="BK164" s="58"/>
      <c r="BL164" s="58"/>
      <c r="BM164" s="58"/>
      <c r="BN164" s="58"/>
      <c r="BO164" s="58"/>
    </row>
    <row r="165" spans="1:67" ht="28.5" customHeight="1" x14ac:dyDescent="0.35">
      <c r="A165" s="66" t="s">
        <v>892</v>
      </c>
      <c r="B165" s="66">
        <v>26635090934</v>
      </c>
      <c r="C165" s="66" t="s">
        <v>80</v>
      </c>
      <c r="D165" s="66" t="s">
        <v>893</v>
      </c>
      <c r="E165" s="66" t="s">
        <v>90</v>
      </c>
      <c r="F165" s="66" t="s">
        <v>83</v>
      </c>
      <c r="G165" s="66">
        <v>2100</v>
      </c>
      <c r="H165" s="67"/>
      <c r="I165" s="67" t="s">
        <v>894</v>
      </c>
      <c r="J165" s="68" t="s">
        <v>895</v>
      </c>
      <c r="K165" s="68" t="s">
        <v>896</v>
      </c>
      <c r="L165" s="59"/>
      <c r="M165" s="60"/>
      <c r="N165" s="60"/>
      <c r="O165" s="60"/>
      <c r="P165" s="60"/>
      <c r="Q165" s="61"/>
      <c r="R165" s="32"/>
      <c r="S165" s="33"/>
      <c r="T165" s="33"/>
      <c r="U165" s="33"/>
      <c r="V165" s="34"/>
      <c r="W165" s="35"/>
      <c r="X165" s="36"/>
      <c r="Y165" s="36"/>
      <c r="Z165" s="36"/>
      <c r="AA165" s="37"/>
      <c r="AB165" s="38"/>
      <c r="AC165" s="39"/>
      <c r="AD165" s="40"/>
      <c r="AE165" s="41"/>
      <c r="AF165" s="42"/>
      <c r="AG165" s="42"/>
      <c r="AH165" s="42"/>
      <c r="AI165" s="43"/>
      <c r="AJ165" s="44"/>
      <c r="AK165" s="45"/>
      <c r="AL165" s="45"/>
      <c r="AM165" s="45"/>
      <c r="AN165" s="46"/>
      <c r="AO165" s="47"/>
      <c r="AP165" s="48"/>
      <c r="AQ165" s="48"/>
      <c r="AR165" s="48"/>
      <c r="AS165" s="48"/>
      <c r="AT165" s="49"/>
      <c r="AU165" s="50"/>
      <c r="AV165" s="51"/>
      <c r="AW165" s="51"/>
      <c r="AX165" s="52"/>
      <c r="AY165" s="53"/>
      <c r="AZ165" s="80"/>
      <c r="BA165" s="54"/>
      <c r="BB165" s="55"/>
      <c r="BC165" s="55"/>
      <c r="BD165" s="55"/>
      <c r="BE165" s="55"/>
      <c r="BF165" s="55"/>
      <c r="BG165" s="56"/>
      <c r="BH165" s="57"/>
      <c r="BI165" s="58"/>
      <c r="BJ165" s="58"/>
      <c r="BK165" s="58"/>
      <c r="BL165" s="58"/>
      <c r="BM165" s="58"/>
      <c r="BN165" s="58" t="s">
        <v>87</v>
      </c>
      <c r="BO165" s="58" t="s">
        <v>87</v>
      </c>
    </row>
    <row r="166" spans="1:67" ht="28.5" customHeight="1" x14ac:dyDescent="0.35">
      <c r="A166" s="66" t="s">
        <v>897</v>
      </c>
      <c r="B166" s="66">
        <v>90000154889</v>
      </c>
      <c r="C166" s="66" t="s">
        <v>80</v>
      </c>
      <c r="D166" s="66" t="s">
        <v>898</v>
      </c>
      <c r="E166" s="66" t="s">
        <v>365</v>
      </c>
      <c r="F166" s="66" t="s">
        <v>83</v>
      </c>
      <c r="G166" s="66" t="str">
        <f>"2000"</f>
        <v>2000</v>
      </c>
      <c r="H166" s="66" t="str">
        <f>"02 9994 4000"</f>
        <v>02 9994 4000</v>
      </c>
      <c r="I166" s="66" t="str">
        <f>"0466474153"</f>
        <v>0466474153</v>
      </c>
      <c r="J166" s="68" t="s">
        <v>899</v>
      </c>
      <c r="K166" s="68" t="s">
        <v>900</v>
      </c>
      <c r="L166" s="59"/>
      <c r="M166" s="60"/>
      <c r="N166" s="60"/>
      <c r="O166" s="60"/>
      <c r="P166" s="60"/>
      <c r="Q166" s="61"/>
      <c r="R166" s="32"/>
      <c r="S166" s="33"/>
      <c r="T166" s="33"/>
      <c r="U166" s="33"/>
      <c r="V166" s="34"/>
      <c r="W166" s="35" t="s">
        <v>87</v>
      </c>
      <c r="X166" s="36" t="s">
        <v>87</v>
      </c>
      <c r="Y166" s="36" t="s">
        <v>87</v>
      </c>
      <c r="Z166" s="36" t="s">
        <v>87</v>
      </c>
      <c r="AA166" s="37" t="s">
        <v>87</v>
      </c>
      <c r="AB166" s="38"/>
      <c r="AC166" s="39"/>
      <c r="AD166" s="40"/>
      <c r="AE166" s="41" t="s">
        <v>87</v>
      </c>
      <c r="AF166" s="42" t="s">
        <v>87</v>
      </c>
      <c r="AG166" s="42" t="s">
        <v>87</v>
      </c>
      <c r="AH166" s="42" t="s">
        <v>87</v>
      </c>
      <c r="AI166" s="43" t="s">
        <v>87</v>
      </c>
      <c r="AJ166" s="44"/>
      <c r="AK166" s="45"/>
      <c r="AL166" s="45"/>
      <c r="AM166" s="45"/>
      <c r="AN166" s="46"/>
      <c r="AO166" s="47"/>
      <c r="AP166" s="48"/>
      <c r="AQ166" s="48"/>
      <c r="AR166" s="48"/>
      <c r="AS166" s="48"/>
      <c r="AT166" s="49"/>
      <c r="AU166" s="50" t="s">
        <v>87</v>
      </c>
      <c r="AV166" s="51" t="s">
        <v>87</v>
      </c>
      <c r="AW166" s="51" t="s">
        <v>87</v>
      </c>
      <c r="AX166" s="52" t="s">
        <v>87</v>
      </c>
      <c r="AY166" s="53"/>
      <c r="AZ166" s="80"/>
      <c r="BA166" s="54"/>
      <c r="BB166" s="55"/>
      <c r="BC166" s="55"/>
      <c r="BD166" s="55"/>
      <c r="BE166" s="55"/>
      <c r="BF166" s="55"/>
      <c r="BG166" s="56"/>
      <c r="BH166" s="57"/>
      <c r="BI166" s="58"/>
      <c r="BJ166" s="58"/>
      <c r="BK166" s="58"/>
      <c r="BL166" s="58"/>
      <c r="BM166" s="58"/>
      <c r="BN166" s="58"/>
      <c r="BO166" s="58"/>
    </row>
    <row r="167" spans="1:67" ht="28.5" customHeight="1" x14ac:dyDescent="0.35">
      <c r="A167" s="66" t="s">
        <v>901</v>
      </c>
      <c r="B167" s="66">
        <v>74002285949</v>
      </c>
      <c r="C167" s="66" t="s">
        <v>80</v>
      </c>
      <c r="D167" s="66" t="s">
        <v>902</v>
      </c>
      <c r="E167" s="66" t="s">
        <v>90</v>
      </c>
      <c r="F167" s="66" t="s">
        <v>83</v>
      </c>
      <c r="G167" s="66">
        <v>2015</v>
      </c>
      <c r="H167" s="66" t="s">
        <v>903</v>
      </c>
      <c r="I167" s="67" t="s">
        <v>904</v>
      </c>
      <c r="J167" s="68" t="s">
        <v>905</v>
      </c>
      <c r="K167" s="68" t="s">
        <v>906</v>
      </c>
      <c r="L167" s="59"/>
      <c r="M167" s="60"/>
      <c r="N167" s="60"/>
      <c r="O167" s="60"/>
      <c r="P167" s="60"/>
      <c r="Q167" s="61"/>
      <c r="R167" s="32" t="s">
        <v>87</v>
      </c>
      <c r="S167" s="33"/>
      <c r="T167" s="33"/>
      <c r="U167" s="33"/>
      <c r="V167" s="34" t="s">
        <v>87</v>
      </c>
      <c r="W167" s="35"/>
      <c r="X167" s="36"/>
      <c r="Y167" s="36"/>
      <c r="Z167" s="36"/>
      <c r="AA167" s="37"/>
      <c r="AB167" s="38"/>
      <c r="AC167" s="39"/>
      <c r="AD167" s="40"/>
      <c r="AE167" s="41"/>
      <c r="AF167" s="42"/>
      <c r="AG167" s="42"/>
      <c r="AH167" s="42"/>
      <c r="AI167" s="43"/>
      <c r="AJ167" s="44"/>
      <c r="AK167" s="45"/>
      <c r="AL167" s="45"/>
      <c r="AM167" s="45"/>
      <c r="AN167" s="46"/>
      <c r="AO167" s="47"/>
      <c r="AP167" s="48"/>
      <c r="AQ167" s="48"/>
      <c r="AR167" s="48"/>
      <c r="AS167" s="48"/>
      <c r="AT167" s="49"/>
      <c r="AU167" s="50" t="s">
        <v>87</v>
      </c>
      <c r="AV167" s="51" t="s">
        <v>87</v>
      </c>
      <c r="AW167" s="51" t="s">
        <v>87</v>
      </c>
      <c r="AX167" s="52"/>
      <c r="AY167" s="53"/>
      <c r="AZ167" s="80"/>
      <c r="BA167" s="54"/>
      <c r="BB167" s="55"/>
      <c r="BC167" s="55"/>
      <c r="BD167" s="55" t="s">
        <v>87</v>
      </c>
      <c r="BE167" s="55"/>
      <c r="BF167" s="55"/>
      <c r="BG167" s="56"/>
      <c r="BH167" s="57"/>
      <c r="BI167" s="58"/>
      <c r="BJ167" s="58"/>
      <c r="BK167" s="58"/>
      <c r="BL167" s="58"/>
      <c r="BM167" s="58"/>
      <c r="BN167" s="58"/>
      <c r="BO167" s="58"/>
    </row>
    <row r="168" spans="1:67" ht="28.5" customHeight="1" x14ac:dyDescent="0.35">
      <c r="A168" s="66" t="s">
        <v>907</v>
      </c>
      <c r="B168" s="66">
        <v>48615798528</v>
      </c>
      <c r="C168" s="66" t="s">
        <v>80</v>
      </c>
      <c r="D168" s="66" t="s">
        <v>908</v>
      </c>
      <c r="E168" s="66" t="s">
        <v>909</v>
      </c>
      <c r="F168" s="66" t="s">
        <v>83</v>
      </c>
      <c r="G168" s="66">
        <v>2100</v>
      </c>
      <c r="H168" s="66"/>
      <c r="I168" s="67" t="s">
        <v>910</v>
      </c>
      <c r="J168" s="68" t="s">
        <v>911</v>
      </c>
      <c r="K168" s="68" t="s">
        <v>912</v>
      </c>
      <c r="L168" s="59"/>
      <c r="M168" s="60"/>
      <c r="N168" s="60"/>
      <c r="O168" s="60"/>
      <c r="P168" s="60"/>
      <c r="Q168" s="61"/>
      <c r="R168" s="32"/>
      <c r="S168" s="33"/>
      <c r="T168" s="33"/>
      <c r="U168" s="33"/>
      <c r="V168" s="34"/>
      <c r="W168" s="35"/>
      <c r="X168" s="36"/>
      <c r="Y168" s="36"/>
      <c r="Z168" s="36"/>
      <c r="AA168" s="37"/>
      <c r="AB168" s="38"/>
      <c r="AC168" s="39"/>
      <c r="AD168" s="40"/>
      <c r="AE168" s="41"/>
      <c r="AF168" s="42"/>
      <c r="AG168" s="42"/>
      <c r="AH168" s="42"/>
      <c r="AI168" s="43"/>
      <c r="AJ168" s="44"/>
      <c r="AK168" s="45"/>
      <c r="AL168" s="45"/>
      <c r="AM168" s="45"/>
      <c r="AN168" s="46"/>
      <c r="AO168" s="47"/>
      <c r="AP168" s="48"/>
      <c r="AQ168" s="48"/>
      <c r="AR168" s="48"/>
      <c r="AS168" s="48"/>
      <c r="AT168" s="49"/>
      <c r="AU168" s="50" t="s">
        <v>87</v>
      </c>
      <c r="AV168" s="51" t="s">
        <v>87</v>
      </c>
      <c r="AW168" s="51" t="s">
        <v>87</v>
      </c>
      <c r="AX168" s="52"/>
      <c r="AY168" s="53"/>
      <c r="AZ168" s="80"/>
      <c r="BA168" s="54"/>
      <c r="BB168" s="55"/>
      <c r="BC168" s="55"/>
      <c r="BD168" s="55"/>
      <c r="BE168" s="55"/>
      <c r="BF168" s="55"/>
      <c r="BG168" s="56"/>
      <c r="BH168" s="57"/>
      <c r="BI168" s="58"/>
      <c r="BJ168" s="58"/>
      <c r="BK168" s="58"/>
      <c r="BL168" s="58"/>
      <c r="BM168" s="58"/>
      <c r="BN168" s="58"/>
      <c r="BO168" s="58"/>
    </row>
    <row r="169" spans="1:67" ht="28.5" customHeight="1" x14ac:dyDescent="0.35">
      <c r="A169" s="66" t="s">
        <v>913</v>
      </c>
      <c r="B169" s="66">
        <v>64092483871</v>
      </c>
      <c r="C169" s="66" t="s">
        <v>80</v>
      </c>
      <c r="D169" s="66" t="s">
        <v>914</v>
      </c>
      <c r="E169" s="66" t="s">
        <v>139</v>
      </c>
      <c r="F169" s="66" t="s">
        <v>83</v>
      </c>
      <c r="G169" s="66" t="str">
        <f>"2000"</f>
        <v>2000</v>
      </c>
      <c r="H169" s="66" t="str">
        <f>"02 8040 9229"</f>
        <v>02 8040 9229</v>
      </c>
      <c r="I169" s="66" t="str">
        <f>"0418210609"</f>
        <v>0418210609</v>
      </c>
      <c r="J169" s="68" t="s">
        <v>915</v>
      </c>
      <c r="K169" s="68" t="s">
        <v>916</v>
      </c>
      <c r="L169" s="59"/>
      <c r="M169" s="60"/>
      <c r="N169" s="60"/>
      <c r="O169" s="60"/>
      <c r="P169" s="60"/>
      <c r="Q169" s="61"/>
      <c r="R169" s="32" t="s">
        <v>87</v>
      </c>
      <c r="S169" s="33" t="s">
        <v>87</v>
      </c>
      <c r="T169" s="33" t="s">
        <v>87</v>
      </c>
      <c r="U169" s="33" t="s">
        <v>87</v>
      </c>
      <c r="V169" s="34" t="s">
        <v>87</v>
      </c>
      <c r="W169" s="35" t="s">
        <v>87</v>
      </c>
      <c r="X169" s="36" t="s">
        <v>87</v>
      </c>
      <c r="Y169" s="36" t="s">
        <v>87</v>
      </c>
      <c r="Z169" s="36" t="s">
        <v>87</v>
      </c>
      <c r="AA169" s="37" t="s">
        <v>87</v>
      </c>
      <c r="AB169" s="38"/>
      <c r="AC169" s="39"/>
      <c r="AD169" s="40"/>
      <c r="AE169" s="41"/>
      <c r="AF169" s="42"/>
      <c r="AG169" s="42"/>
      <c r="AH169" s="42"/>
      <c r="AI169" s="43"/>
      <c r="AJ169" s="44"/>
      <c r="AK169" s="45"/>
      <c r="AL169" s="45"/>
      <c r="AM169" s="45"/>
      <c r="AN169" s="46"/>
      <c r="AO169" s="47"/>
      <c r="AP169" s="48"/>
      <c r="AQ169" s="48"/>
      <c r="AR169" s="48"/>
      <c r="AS169" s="48"/>
      <c r="AT169" s="49"/>
      <c r="AU169" s="50" t="s">
        <v>87</v>
      </c>
      <c r="AV169" s="51" t="s">
        <v>87</v>
      </c>
      <c r="AW169" s="51" t="s">
        <v>87</v>
      </c>
      <c r="AX169" s="52" t="s">
        <v>87</v>
      </c>
      <c r="AY169" s="53"/>
      <c r="AZ169" s="80"/>
      <c r="BA169" s="54"/>
      <c r="BB169" s="55"/>
      <c r="BC169" s="55"/>
      <c r="BD169" s="55"/>
      <c r="BE169" s="55"/>
      <c r="BF169" s="55"/>
      <c r="BG169" s="56"/>
      <c r="BH169" s="57"/>
      <c r="BI169" s="58"/>
      <c r="BJ169" s="58"/>
      <c r="BK169" s="58"/>
      <c r="BL169" s="58"/>
      <c r="BM169" s="58"/>
      <c r="BN169" s="58"/>
      <c r="BO169" s="58"/>
    </row>
    <row r="170" spans="1:67" ht="28.5" customHeight="1" x14ac:dyDescent="0.35">
      <c r="A170" s="66" t="s">
        <v>917</v>
      </c>
      <c r="B170" s="66">
        <v>88064780785</v>
      </c>
      <c r="C170" s="66" t="s">
        <v>80</v>
      </c>
      <c r="D170" s="66" t="s">
        <v>918</v>
      </c>
      <c r="E170" s="66" t="s">
        <v>132</v>
      </c>
      <c r="F170" s="66" t="s">
        <v>83</v>
      </c>
      <c r="G170" s="66">
        <v>2015</v>
      </c>
      <c r="H170" s="67" t="s">
        <v>919</v>
      </c>
      <c r="I170" s="67" t="s">
        <v>920</v>
      </c>
      <c r="J170" s="68" t="s">
        <v>921</v>
      </c>
      <c r="K170" s="68" t="s">
        <v>922</v>
      </c>
      <c r="L170" s="59"/>
      <c r="M170" s="60"/>
      <c r="N170" s="60"/>
      <c r="O170" s="60"/>
      <c r="P170" s="60"/>
      <c r="Q170" s="61"/>
      <c r="R170" s="32"/>
      <c r="S170" s="33"/>
      <c r="T170" s="33"/>
      <c r="U170" s="33"/>
      <c r="V170" s="34"/>
      <c r="W170" s="35"/>
      <c r="X170" s="36"/>
      <c r="Y170" s="36"/>
      <c r="Z170" s="36"/>
      <c r="AA170" s="37"/>
      <c r="AB170" s="38"/>
      <c r="AC170" s="39"/>
      <c r="AD170" s="40"/>
      <c r="AE170" s="41"/>
      <c r="AF170" s="42"/>
      <c r="AG170" s="42"/>
      <c r="AH170" s="42"/>
      <c r="AI170" s="43"/>
      <c r="AJ170" s="44"/>
      <c r="AK170" s="45"/>
      <c r="AL170" s="45"/>
      <c r="AM170" s="45"/>
      <c r="AN170" s="46"/>
      <c r="AO170" s="47"/>
      <c r="AP170" s="48"/>
      <c r="AQ170" s="48"/>
      <c r="AR170" s="48"/>
      <c r="AS170" s="48"/>
      <c r="AT170" s="49"/>
      <c r="AU170" s="50" t="s">
        <v>87</v>
      </c>
      <c r="AV170" s="51" t="s">
        <v>87</v>
      </c>
      <c r="AW170" s="51" t="s">
        <v>87</v>
      </c>
      <c r="AX170" s="52" t="s">
        <v>87</v>
      </c>
      <c r="AY170" s="53"/>
      <c r="AZ170" s="80"/>
      <c r="BA170" s="54"/>
      <c r="BB170" s="55"/>
      <c r="BC170" s="55"/>
      <c r="BD170" s="55"/>
      <c r="BE170" s="55"/>
      <c r="BF170" s="55"/>
      <c r="BG170" s="56"/>
      <c r="BH170" s="57"/>
      <c r="BI170" s="58"/>
      <c r="BJ170" s="58"/>
      <c r="BK170" s="58"/>
      <c r="BL170" s="58"/>
      <c r="BM170" s="58"/>
      <c r="BN170" s="58"/>
      <c r="BO170" s="58"/>
    </row>
    <row r="171" spans="1:67" ht="28.5" customHeight="1" x14ac:dyDescent="0.35">
      <c r="A171" s="66" t="s">
        <v>923</v>
      </c>
      <c r="B171" s="66">
        <v>81144665378</v>
      </c>
      <c r="C171" s="66" t="s">
        <v>80</v>
      </c>
      <c r="D171" s="66" t="s">
        <v>924</v>
      </c>
      <c r="E171" s="66" t="s">
        <v>925</v>
      </c>
      <c r="F171" s="66" t="s">
        <v>83</v>
      </c>
      <c r="G171" s="66" t="str">
        <f>"2000"</f>
        <v>2000</v>
      </c>
      <c r="H171" s="66"/>
      <c r="I171" s="66" t="str">
        <f>"0449077784"</f>
        <v>0449077784</v>
      </c>
      <c r="J171" s="68" t="s">
        <v>926</v>
      </c>
      <c r="K171" s="68" t="s">
        <v>927</v>
      </c>
      <c r="L171" s="59"/>
      <c r="M171" s="60"/>
      <c r="N171" s="60"/>
      <c r="O171" s="60"/>
      <c r="P171" s="60"/>
      <c r="Q171" s="61"/>
      <c r="R171" s="32"/>
      <c r="S171" s="33"/>
      <c r="T171" s="33"/>
      <c r="U171" s="33"/>
      <c r="V171" s="34"/>
      <c r="W171" s="35"/>
      <c r="X171" s="36"/>
      <c r="Y171" s="36"/>
      <c r="Z171" s="36"/>
      <c r="AA171" s="37"/>
      <c r="AB171" s="38"/>
      <c r="AC171" s="39"/>
      <c r="AD171" s="40"/>
      <c r="AE171" s="41"/>
      <c r="AF171" s="42"/>
      <c r="AG171" s="42"/>
      <c r="AH171" s="42"/>
      <c r="AI171" s="43"/>
      <c r="AJ171" s="44"/>
      <c r="AK171" s="45"/>
      <c r="AL171" s="45"/>
      <c r="AM171" s="45"/>
      <c r="AN171" s="46"/>
      <c r="AO171" s="47"/>
      <c r="AP171" s="48"/>
      <c r="AQ171" s="48"/>
      <c r="AR171" s="48"/>
      <c r="AS171" s="48"/>
      <c r="AT171" s="49"/>
      <c r="AU171" s="50"/>
      <c r="AV171" s="51"/>
      <c r="AW171" s="51"/>
      <c r="AX171" s="52"/>
      <c r="AY171" s="53"/>
      <c r="AZ171" s="80"/>
      <c r="BA171" s="54"/>
      <c r="BB171" s="55"/>
      <c r="BC171" s="55"/>
      <c r="BD171" s="55"/>
      <c r="BE171" s="55"/>
      <c r="BF171" s="55"/>
      <c r="BG171" s="56"/>
      <c r="BH171" s="57" t="s">
        <v>87</v>
      </c>
      <c r="BI171" s="58" t="s">
        <v>87</v>
      </c>
      <c r="BJ171" s="58" t="s">
        <v>87</v>
      </c>
      <c r="BK171" s="58" t="s">
        <v>87</v>
      </c>
      <c r="BL171" s="58"/>
      <c r="BM171" s="58" t="s">
        <v>87</v>
      </c>
      <c r="BN171" s="58" t="s">
        <v>87</v>
      </c>
      <c r="BO171" s="58" t="s">
        <v>87</v>
      </c>
    </row>
    <row r="172" spans="1:67" ht="28.5" customHeight="1" x14ac:dyDescent="0.35">
      <c r="A172" s="66" t="s">
        <v>928</v>
      </c>
      <c r="B172" s="66">
        <v>77349283711</v>
      </c>
      <c r="C172" s="66" t="s">
        <v>80</v>
      </c>
      <c r="D172" s="66" t="s">
        <v>929</v>
      </c>
      <c r="E172" s="66" t="s">
        <v>930</v>
      </c>
      <c r="F172" s="66" t="s">
        <v>83</v>
      </c>
      <c r="G172" s="66" t="str">
        <f>"2037"</f>
        <v>2037</v>
      </c>
      <c r="H172" s="66" t="str">
        <f>"02 8065 5652"</f>
        <v>02 8065 5652</v>
      </c>
      <c r="I172" s="66" t="str">
        <f>"0421516818"</f>
        <v>0421516818</v>
      </c>
      <c r="J172" s="68" t="s">
        <v>931</v>
      </c>
      <c r="K172" s="68" t="s">
        <v>932</v>
      </c>
      <c r="L172" s="59"/>
      <c r="M172" s="60"/>
      <c r="N172" s="60"/>
      <c r="O172" s="60"/>
      <c r="P172" s="60"/>
      <c r="Q172" s="61"/>
      <c r="R172" s="32"/>
      <c r="S172" s="33"/>
      <c r="T172" s="33"/>
      <c r="U172" s="33"/>
      <c r="V172" s="34"/>
      <c r="W172" s="35"/>
      <c r="X172" s="36"/>
      <c r="Y172" s="36"/>
      <c r="Z172" s="36"/>
      <c r="AA172" s="37"/>
      <c r="AB172" s="38"/>
      <c r="AC172" s="39"/>
      <c r="AD172" s="40"/>
      <c r="AE172" s="41"/>
      <c r="AF172" s="42"/>
      <c r="AG172" s="42"/>
      <c r="AH172" s="42"/>
      <c r="AI172" s="43"/>
      <c r="AJ172" s="44"/>
      <c r="AK172" s="45"/>
      <c r="AL172" s="45"/>
      <c r="AM172" s="45"/>
      <c r="AN172" s="46"/>
      <c r="AO172" s="47"/>
      <c r="AP172" s="48"/>
      <c r="AQ172" s="48"/>
      <c r="AR172" s="48"/>
      <c r="AS172" s="48"/>
      <c r="AT172" s="49"/>
      <c r="AU172" s="50"/>
      <c r="AV172" s="51"/>
      <c r="AW172" s="51"/>
      <c r="AX172" s="52"/>
      <c r="AY172" s="53"/>
      <c r="AZ172" s="80"/>
      <c r="BA172" s="54"/>
      <c r="BB172" s="55"/>
      <c r="BC172" s="55"/>
      <c r="BD172" s="55"/>
      <c r="BE172" s="55"/>
      <c r="BF172" s="55"/>
      <c r="BG172" s="56"/>
      <c r="BH172" s="57" t="s">
        <v>87</v>
      </c>
      <c r="BI172" s="58" t="s">
        <v>87</v>
      </c>
      <c r="BJ172" s="58" t="s">
        <v>87</v>
      </c>
      <c r="BK172" s="58" t="s">
        <v>87</v>
      </c>
      <c r="BL172" s="58" t="s">
        <v>87</v>
      </c>
      <c r="BM172" s="58" t="s">
        <v>87</v>
      </c>
      <c r="BN172" s="58" t="s">
        <v>87</v>
      </c>
      <c r="BO172" s="58" t="s">
        <v>87</v>
      </c>
    </row>
    <row r="173" spans="1:67" ht="28.5" customHeight="1" x14ac:dyDescent="0.35">
      <c r="A173" s="66" t="s">
        <v>933</v>
      </c>
      <c r="B173" s="66">
        <v>60600946389</v>
      </c>
      <c r="C173" s="66" t="s">
        <v>80</v>
      </c>
      <c r="D173" s="66" t="s">
        <v>934</v>
      </c>
      <c r="E173" s="66" t="s">
        <v>935</v>
      </c>
      <c r="F173" s="66" t="s">
        <v>83</v>
      </c>
      <c r="G173" s="66" t="str">
        <f>"2007"</f>
        <v>2007</v>
      </c>
      <c r="H173" s="66" t="str">
        <f>"02 9212 2000"</f>
        <v>02 9212 2000</v>
      </c>
      <c r="I173" s="66" t="str">
        <f>"0405160275"</f>
        <v>0405160275</v>
      </c>
      <c r="J173" s="68" t="s">
        <v>936</v>
      </c>
      <c r="K173" s="68" t="s">
        <v>937</v>
      </c>
      <c r="L173" s="59"/>
      <c r="M173" s="60"/>
      <c r="N173" s="60"/>
      <c r="O173" s="60"/>
      <c r="P173" s="60"/>
      <c r="Q173" s="61"/>
      <c r="R173" s="32"/>
      <c r="S173" s="33" t="s">
        <v>87</v>
      </c>
      <c r="T173" s="33" t="s">
        <v>87</v>
      </c>
      <c r="U173" s="33" t="s">
        <v>87</v>
      </c>
      <c r="V173" s="34"/>
      <c r="W173" s="35"/>
      <c r="X173" s="36"/>
      <c r="Y173" s="36"/>
      <c r="Z173" s="36"/>
      <c r="AA173" s="37"/>
      <c r="AB173" s="38" t="s">
        <v>87</v>
      </c>
      <c r="AC173" s="39" t="s">
        <v>87</v>
      </c>
      <c r="AD173" s="40" t="s">
        <v>87</v>
      </c>
      <c r="AE173" s="41"/>
      <c r="AF173" s="42"/>
      <c r="AG173" s="42"/>
      <c r="AH173" s="42"/>
      <c r="AI173" s="43"/>
      <c r="AJ173" s="44"/>
      <c r="AK173" s="45"/>
      <c r="AL173" s="45"/>
      <c r="AM173" s="45"/>
      <c r="AN173" s="46"/>
      <c r="AO173" s="47"/>
      <c r="AP173" s="48"/>
      <c r="AQ173" s="48"/>
      <c r="AR173" s="48"/>
      <c r="AS173" s="48"/>
      <c r="AT173" s="49"/>
      <c r="AU173" s="50"/>
      <c r="AV173" s="51"/>
      <c r="AW173" s="51"/>
      <c r="AX173" s="52"/>
      <c r="AY173" s="53" t="s">
        <v>87</v>
      </c>
      <c r="AZ173" s="80" t="s">
        <v>87</v>
      </c>
      <c r="BA173" s="54"/>
      <c r="BB173" s="55"/>
      <c r="BC173" s="55"/>
      <c r="BD173" s="55"/>
      <c r="BE173" s="55"/>
      <c r="BF173" s="55"/>
      <c r="BG173" s="56"/>
      <c r="BH173" s="57"/>
      <c r="BI173" s="58"/>
      <c r="BJ173" s="58"/>
      <c r="BK173" s="58"/>
      <c r="BL173" s="58"/>
      <c r="BM173" s="58"/>
      <c r="BN173" s="58"/>
      <c r="BO173" s="58"/>
    </row>
    <row r="174" spans="1:67" ht="28.5" customHeight="1" x14ac:dyDescent="0.35">
      <c r="A174" s="66" t="s">
        <v>938</v>
      </c>
      <c r="B174" s="66">
        <v>37817091833</v>
      </c>
      <c r="C174" s="66" t="s">
        <v>80</v>
      </c>
      <c r="D174" s="66" t="s">
        <v>939</v>
      </c>
      <c r="E174" s="66" t="s">
        <v>940</v>
      </c>
      <c r="F174" s="66" t="s">
        <v>83</v>
      </c>
      <c r="G174" s="66">
        <v>2445</v>
      </c>
      <c r="H174" s="67" t="s">
        <v>941</v>
      </c>
      <c r="I174" s="67" t="s">
        <v>942</v>
      </c>
      <c r="J174" s="68" t="s">
        <v>943</v>
      </c>
      <c r="K174" s="68" t="s">
        <v>944</v>
      </c>
      <c r="L174" s="59"/>
      <c r="M174" s="60"/>
      <c r="N174" s="60"/>
      <c r="O174" s="60"/>
      <c r="P174" s="60"/>
      <c r="Q174" s="61"/>
      <c r="R174" s="32" t="s">
        <v>87</v>
      </c>
      <c r="S174" s="33" t="s">
        <v>87</v>
      </c>
      <c r="T174" s="33"/>
      <c r="U174" s="33"/>
      <c r="V174" s="33" t="s">
        <v>87</v>
      </c>
      <c r="W174" s="35"/>
      <c r="X174" s="36"/>
      <c r="Y174" s="36"/>
      <c r="Z174" s="36"/>
      <c r="AA174" s="37"/>
      <c r="AB174" s="38"/>
      <c r="AC174" s="39"/>
      <c r="AD174" s="40"/>
      <c r="AE174" s="41"/>
      <c r="AF174" s="42"/>
      <c r="AG174" s="42"/>
      <c r="AH174" s="42"/>
      <c r="AI174" s="43"/>
      <c r="AJ174" s="44"/>
      <c r="AK174" s="45"/>
      <c r="AL174" s="45"/>
      <c r="AM174" s="45"/>
      <c r="AN174" s="46"/>
      <c r="AO174" s="47"/>
      <c r="AP174" s="48"/>
      <c r="AQ174" s="48"/>
      <c r="AR174" s="48"/>
      <c r="AS174" s="48"/>
      <c r="AT174" s="49"/>
      <c r="AU174" s="50" t="s">
        <v>87</v>
      </c>
      <c r="AV174" s="51" t="s">
        <v>87</v>
      </c>
      <c r="AW174" s="51" t="s">
        <v>87</v>
      </c>
      <c r="AX174" s="52"/>
      <c r="AY174" s="53" t="s">
        <v>87</v>
      </c>
      <c r="AZ174" s="80" t="s">
        <v>87</v>
      </c>
      <c r="BA174" s="54"/>
      <c r="BB174" s="55"/>
      <c r="BC174" s="55"/>
      <c r="BD174" s="55"/>
      <c r="BE174" s="55"/>
      <c r="BF174" s="55"/>
      <c r="BG174" s="56"/>
      <c r="BH174" s="57"/>
      <c r="BI174" s="58"/>
      <c r="BJ174" s="58"/>
      <c r="BK174" s="58"/>
      <c r="BL174" s="58"/>
      <c r="BM174" s="58"/>
      <c r="BN174" s="58"/>
      <c r="BO174" s="58"/>
    </row>
    <row r="175" spans="1:67" ht="28.5" customHeight="1" x14ac:dyDescent="0.35">
      <c r="A175" s="66" t="s">
        <v>945</v>
      </c>
      <c r="B175" s="66">
        <v>59062774663</v>
      </c>
      <c r="C175" s="66" t="s">
        <v>80</v>
      </c>
      <c r="D175" s="66" t="s">
        <v>946</v>
      </c>
      <c r="E175" s="66" t="s">
        <v>90</v>
      </c>
      <c r="F175" s="66" t="s">
        <v>83</v>
      </c>
      <c r="G175" s="66" t="str">
        <f>"2122"</f>
        <v>2122</v>
      </c>
      <c r="H175" s="66" t="str">
        <f>"02 8001 6658"</f>
        <v>02 8001 6658</v>
      </c>
      <c r="I175" s="66" t="str">
        <f>"0414977760"</f>
        <v>0414977760</v>
      </c>
      <c r="J175" s="68" t="s">
        <v>947</v>
      </c>
      <c r="K175" s="68" t="s">
        <v>948</v>
      </c>
      <c r="L175" s="59"/>
      <c r="M175" s="60"/>
      <c r="N175" s="60"/>
      <c r="O175" s="60"/>
      <c r="P175" s="60"/>
      <c r="Q175" s="61"/>
      <c r="R175" s="32"/>
      <c r="S175" s="33"/>
      <c r="T175" s="33"/>
      <c r="U175" s="33"/>
      <c r="V175" s="34"/>
      <c r="W175" s="35"/>
      <c r="X175" s="36"/>
      <c r="Y175" s="36"/>
      <c r="Z175" s="36"/>
      <c r="AA175" s="37"/>
      <c r="AB175" s="38"/>
      <c r="AC175" s="39"/>
      <c r="AD175" s="40"/>
      <c r="AE175" s="41"/>
      <c r="AF175" s="42"/>
      <c r="AG175" s="42"/>
      <c r="AH175" s="42"/>
      <c r="AI175" s="43"/>
      <c r="AJ175" s="44"/>
      <c r="AK175" s="45"/>
      <c r="AL175" s="45"/>
      <c r="AM175" s="45"/>
      <c r="AN175" s="46"/>
      <c r="AO175" s="47" t="s">
        <v>87</v>
      </c>
      <c r="AP175" s="48" t="s">
        <v>87</v>
      </c>
      <c r="AQ175" s="48" t="s">
        <v>87</v>
      </c>
      <c r="AR175" s="48" t="s">
        <v>87</v>
      </c>
      <c r="AS175" s="48" t="s">
        <v>87</v>
      </c>
      <c r="AT175" s="49" t="s">
        <v>87</v>
      </c>
      <c r="AU175" s="50"/>
      <c r="AV175" s="51"/>
      <c r="AW175" s="51" t="s">
        <v>87</v>
      </c>
      <c r="AX175" s="52"/>
      <c r="AY175" s="53"/>
      <c r="AZ175" s="80"/>
      <c r="BA175" s="54"/>
      <c r="BB175" s="55"/>
      <c r="BC175" s="55"/>
      <c r="BD175" s="55"/>
      <c r="BE175" s="55"/>
      <c r="BF175" s="55"/>
      <c r="BG175" s="56"/>
      <c r="BH175" s="57"/>
      <c r="BI175" s="58"/>
      <c r="BJ175" s="58"/>
      <c r="BK175" s="58"/>
      <c r="BL175" s="58"/>
      <c r="BM175" s="58"/>
      <c r="BN175" s="58"/>
      <c r="BO175" s="58"/>
    </row>
    <row r="176" spans="1:67" ht="28.5" customHeight="1" x14ac:dyDescent="0.35">
      <c r="A176" s="66" t="s">
        <v>949</v>
      </c>
      <c r="B176" s="66">
        <v>73646132676</v>
      </c>
      <c r="C176" s="66" t="s">
        <v>80</v>
      </c>
      <c r="D176" s="66" t="s">
        <v>950</v>
      </c>
      <c r="E176" s="66" t="s">
        <v>365</v>
      </c>
      <c r="F176" s="66" t="s">
        <v>83</v>
      </c>
      <c r="G176" s="66">
        <v>2011</v>
      </c>
      <c r="H176" s="66" t="s">
        <v>951</v>
      </c>
      <c r="I176" s="67" t="s">
        <v>952</v>
      </c>
      <c r="J176" s="68" t="s">
        <v>953</v>
      </c>
      <c r="K176" s="68" t="s">
        <v>954</v>
      </c>
      <c r="L176" s="59"/>
      <c r="M176" s="60"/>
      <c r="N176" s="60"/>
      <c r="O176" s="60"/>
      <c r="P176" s="60"/>
      <c r="Q176" s="61"/>
      <c r="R176" s="32"/>
      <c r="S176" s="33"/>
      <c r="T176" s="33"/>
      <c r="U176" s="33"/>
      <c r="V176" s="34"/>
      <c r="W176" s="35" t="s">
        <v>87</v>
      </c>
      <c r="X176" s="36" t="s">
        <v>87</v>
      </c>
      <c r="Y176" s="36"/>
      <c r="Z176" s="36" t="s">
        <v>87</v>
      </c>
      <c r="AA176" s="37" t="s">
        <v>87</v>
      </c>
      <c r="AB176" s="38"/>
      <c r="AC176" s="39"/>
      <c r="AD176" s="40"/>
      <c r="AE176" s="41"/>
      <c r="AF176" s="42"/>
      <c r="AG176" s="42" t="s">
        <v>87</v>
      </c>
      <c r="AH176" s="42" t="s">
        <v>87</v>
      </c>
      <c r="AI176" s="43"/>
      <c r="AJ176" s="44"/>
      <c r="AK176" s="45"/>
      <c r="AL176" s="45"/>
      <c r="AM176" s="45"/>
      <c r="AN176" s="46"/>
      <c r="AO176" s="47"/>
      <c r="AP176" s="48"/>
      <c r="AQ176" s="48"/>
      <c r="AR176" s="48"/>
      <c r="AS176" s="48"/>
      <c r="AT176" s="49"/>
      <c r="AU176" s="50"/>
      <c r="AV176" s="51"/>
      <c r="AW176" s="51"/>
      <c r="AX176" s="52"/>
      <c r="AY176" s="53"/>
      <c r="AZ176" s="80"/>
      <c r="BA176" s="54"/>
      <c r="BB176" s="55"/>
      <c r="BC176" s="55"/>
      <c r="BD176" s="55"/>
      <c r="BE176" s="55"/>
      <c r="BF176" s="55"/>
      <c r="BG176" s="56"/>
      <c r="BH176" s="57"/>
      <c r="BI176" s="58"/>
      <c r="BJ176" s="58"/>
      <c r="BK176" s="58"/>
      <c r="BL176" s="58"/>
      <c r="BM176" s="58"/>
      <c r="BN176" s="58"/>
      <c r="BO176" s="58"/>
    </row>
    <row r="177" spans="1:67" ht="28.5" customHeight="1" x14ac:dyDescent="0.35">
      <c r="A177" s="66" t="s">
        <v>955</v>
      </c>
      <c r="B177" s="66">
        <v>49151667695</v>
      </c>
      <c r="C177" s="66" t="s">
        <v>80</v>
      </c>
      <c r="D177" s="66" t="s">
        <v>956</v>
      </c>
      <c r="E177" s="66" t="s">
        <v>90</v>
      </c>
      <c r="F177" s="66" t="s">
        <v>107</v>
      </c>
      <c r="G177" s="66">
        <v>2612</v>
      </c>
      <c r="H177" s="66" t="s">
        <v>957</v>
      </c>
      <c r="I177" s="67" t="s">
        <v>958</v>
      </c>
      <c r="J177" s="68" t="s">
        <v>959</v>
      </c>
      <c r="K177" s="68" t="s">
        <v>960</v>
      </c>
      <c r="L177" s="59"/>
      <c r="M177" s="60"/>
      <c r="N177" s="60"/>
      <c r="O177" s="60"/>
      <c r="P177" s="60"/>
      <c r="Q177" s="61"/>
      <c r="R177" s="32"/>
      <c r="S177" s="33"/>
      <c r="T177" s="33"/>
      <c r="U177" s="33"/>
      <c r="V177" s="34"/>
      <c r="W177" s="35"/>
      <c r="X177" s="36"/>
      <c r="Y177" s="36"/>
      <c r="Z177" s="36"/>
      <c r="AA177" s="37"/>
      <c r="AB177" s="38"/>
      <c r="AC177" s="39"/>
      <c r="AD177" s="40"/>
      <c r="AE177" s="41"/>
      <c r="AF177" s="42"/>
      <c r="AG177" s="42"/>
      <c r="AH177" s="42"/>
      <c r="AI177" s="43"/>
      <c r="AJ177" s="44"/>
      <c r="AK177" s="45"/>
      <c r="AL177" s="45"/>
      <c r="AM177" s="45"/>
      <c r="AN177" s="46"/>
      <c r="AO177" s="47"/>
      <c r="AP177" s="48"/>
      <c r="AQ177" s="48"/>
      <c r="AR177" s="48"/>
      <c r="AS177" s="48"/>
      <c r="AT177" s="49"/>
      <c r="AU177" s="50"/>
      <c r="AV177" s="51"/>
      <c r="AW177" s="51"/>
      <c r="AX177" s="52"/>
      <c r="AY177" s="53"/>
      <c r="AZ177" s="80"/>
      <c r="BA177" s="54"/>
      <c r="BB177" s="55"/>
      <c r="BC177" s="55"/>
      <c r="BD177" s="55"/>
      <c r="BE177" s="55"/>
      <c r="BF177" s="55"/>
      <c r="BG177" s="56"/>
      <c r="BH177" s="57" t="s">
        <v>87</v>
      </c>
      <c r="BI177" s="58" t="s">
        <v>87</v>
      </c>
      <c r="BJ177" s="58"/>
      <c r="BK177" s="58"/>
      <c r="BL177" s="58" t="s">
        <v>87</v>
      </c>
      <c r="BM177" s="58"/>
      <c r="BN177" s="58" t="s">
        <v>87</v>
      </c>
      <c r="BO177" s="58" t="s">
        <v>87</v>
      </c>
    </row>
    <row r="178" spans="1:67" ht="28.5" customHeight="1" x14ac:dyDescent="0.35">
      <c r="A178" s="66" t="s">
        <v>961</v>
      </c>
      <c r="B178" s="66">
        <v>41597366396</v>
      </c>
      <c r="C178" s="66" t="s">
        <v>80</v>
      </c>
      <c r="D178" s="66" t="s">
        <v>962</v>
      </c>
      <c r="E178" s="66" t="s">
        <v>132</v>
      </c>
      <c r="F178" s="66" t="s">
        <v>83</v>
      </c>
      <c r="G178" s="66">
        <v>2040</v>
      </c>
      <c r="H178" s="67" t="s">
        <v>963</v>
      </c>
      <c r="I178" s="67" t="s">
        <v>964</v>
      </c>
      <c r="J178" s="68" t="s">
        <v>965</v>
      </c>
      <c r="K178" s="68" t="s">
        <v>966</v>
      </c>
      <c r="L178" s="59"/>
      <c r="M178" s="60"/>
      <c r="N178" s="60"/>
      <c r="O178" s="60"/>
      <c r="P178" s="60"/>
      <c r="Q178" s="61"/>
      <c r="R178" s="32"/>
      <c r="S178" s="33"/>
      <c r="T178" s="33"/>
      <c r="U178" s="33"/>
      <c r="V178" s="34"/>
      <c r="W178" s="35" t="s">
        <v>87</v>
      </c>
      <c r="X178" s="36"/>
      <c r="Y178" s="36"/>
      <c r="Z178" s="36"/>
      <c r="AA178" s="37"/>
      <c r="AB178" s="38" t="s">
        <v>87</v>
      </c>
      <c r="AC178" s="39" t="s">
        <v>87</v>
      </c>
      <c r="AD178" s="40" t="s">
        <v>87</v>
      </c>
      <c r="AE178" s="41"/>
      <c r="AF178" s="42"/>
      <c r="AG178" s="42"/>
      <c r="AH178" s="42"/>
      <c r="AI178" s="43"/>
      <c r="AJ178" s="44"/>
      <c r="AK178" s="45"/>
      <c r="AL178" s="45"/>
      <c r="AM178" s="45"/>
      <c r="AN178" s="46"/>
      <c r="AO178" s="47"/>
      <c r="AP178" s="48"/>
      <c r="AQ178" s="48"/>
      <c r="AR178" s="48"/>
      <c r="AS178" s="48"/>
      <c r="AT178" s="49"/>
      <c r="AU178" s="50"/>
      <c r="AV178" s="51"/>
      <c r="AW178" s="51"/>
      <c r="AX178" s="52"/>
      <c r="AY178" s="53" t="s">
        <v>87</v>
      </c>
      <c r="AZ178" s="80" t="s">
        <v>87</v>
      </c>
      <c r="BA178" s="54"/>
      <c r="BB178" s="55"/>
      <c r="BC178" s="55"/>
      <c r="BD178" s="55"/>
      <c r="BE178" s="55"/>
      <c r="BF178" s="55"/>
      <c r="BG178" s="56"/>
      <c r="BH178" s="57"/>
      <c r="BI178" s="58"/>
      <c r="BJ178" s="58"/>
      <c r="BK178" s="58"/>
      <c r="BL178" s="58"/>
      <c r="BM178" s="58"/>
      <c r="BN178" s="58"/>
      <c r="BO178" s="58"/>
    </row>
    <row r="179" spans="1:67" ht="28.5" customHeight="1" x14ac:dyDescent="0.35">
      <c r="A179" s="66" t="s">
        <v>967</v>
      </c>
      <c r="B179" s="66">
        <v>35622272271</v>
      </c>
      <c r="C179" s="66" t="s">
        <v>80</v>
      </c>
      <c r="D179" s="66" t="s">
        <v>968</v>
      </c>
      <c r="E179" s="66" t="s">
        <v>90</v>
      </c>
      <c r="F179" s="66" t="s">
        <v>83</v>
      </c>
      <c r="G179" s="66" t="str">
        <f>"2011"</f>
        <v>2011</v>
      </c>
      <c r="H179" s="66"/>
      <c r="I179" s="66" t="str">
        <f>"0411846026"</f>
        <v>0411846026</v>
      </c>
      <c r="J179" s="68" t="s">
        <v>969</v>
      </c>
      <c r="K179" s="68" t="s">
        <v>970</v>
      </c>
      <c r="L179" s="59" t="s">
        <v>87</v>
      </c>
      <c r="M179" s="60" t="s">
        <v>87</v>
      </c>
      <c r="N179" s="60" t="s">
        <v>87</v>
      </c>
      <c r="O179" s="60" t="s">
        <v>87</v>
      </c>
      <c r="P179" s="60" t="s">
        <v>87</v>
      </c>
      <c r="Q179" s="61" t="s">
        <v>87</v>
      </c>
      <c r="R179" s="32"/>
      <c r="S179" s="33" t="s">
        <v>87</v>
      </c>
      <c r="T179" s="33" t="s">
        <v>87</v>
      </c>
      <c r="U179" s="33"/>
      <c r="V179" s="34" t="s">
        <v>87</v>
      </c>
      <c r="W179" s="35"/>
      <c r="X179" s="36"/>
      <c r="Y179" s="36"/>
      <c r="Z179" s="36"/>
      <c r="AA179" s="37"/>
      <c r="AB179" s="38"/>
      <c r="AC179" s="39"/>
      <c r="AD179" s="40"/>
      <c r="AE179" s="41"/>
      <c r="AF179" s="42"/>
      <c r="AG179" s="42"/>
      <c r="AH179" s="42"/>
      <c r="AI179" s="43"/>
      <c r="AJ179" s="44"/>
      <c r="AK179" s="45"/>
      <c r="AL179" s="45"/>
      <c r="AM179" s="45"/>
      <c r="AN179" s="46"/>
      <c r="AO179" s="47"/>
      <c r="AP179" s="48"/>
      <c r="AQ179" s="48"/>
      <c r="AR179" s="48"/>
      <c r="AS179" s="48"/>
      <c r="AT179" s="49"/>
      <c r="AU179" s="50"/>
      <c r="AV179" s="51"/>
      <c r="AW179" s="51"/>
      <c r="AX179" s="52"/>
      <c r="AY179" s="53"/>
      <c r="AZ179" s="80"/>
      <c r="BA179" s="54"/>
      <c r="BB179" s="55" t="s">
        <v>87</v>
      </c>
      <c r="BC179" s="55" t="s">
        <v>87</v>
      </c>
      <c r="BD179" s="55" t="s">
        <v>87</v>
      </c>
      <c r="BE179" s="55" t="s">
        <v>87</v>
      </c>
      <c r="BF179" s="55"/>
      <c r="BG179" s="56"/>
      <c r="BH179" s="57"/>
      <c r="BI179" s="58"/>
      <c r="BJ179" s="58"/>
      <c r="BK179" s="58"/>
      <c r="BL179" s="58"/>
      <c r="BM179" s="58"/>
      <c r="BN179" s="58"/>
      <c r="BO179" s="58"/>
    </row>
    <row r="180" spans="1:67" ht="28.5" customHeight="1" x14ac:dyDescent="0.35">
      <c r="A180" s="66" t="s">
        <v>971</v>
      </c>
      <c r="B180" s="66">
        <v>95637792600</v>
      </c>
      <c r="C180" s="66" t="s">
        <v>80</v>
      </c>
      <c r="D180" s="66" t="s">
        <v>972</v>
      </c>
      <c r="E180" s="66" t="s">
        <v>973</v>
      </c>
      <c r="F180" s="66" t="s">
        <v>83</v>
      </c>
      <c r="G180" s="66">
        <v>2095</v>
      </c>
      <c r="H180" s="66"/>
      <c r="I180" s="67" t="s">
        <v>974</v>
      </c>
      <c r="J180" s="68" t="s">
        <v>975</v>
      </c>
      <c r="K180" s="68" t="s">
        <v>976</v>
      </c>
      <c r="L180" s="59" t="s">
        <v>87</v>
      </c>
      <c r="M180" s="60"/>
      <c r="N180" s="60" t="s">
        <v>87</v>
      </c>
      <c r="O180" s="60"/>
      <c r="P180" s="60" t="s">
        <v>87</v>
      </c>
      <c r="Q180" s="61"/>
      <c r="R180" s="32"/>
      <c r="S180" s="33"/>
      <c r="T180" s="33"/>
      <c r="U180" s="33"/>
      <c r="V180" s="34"/>
      <c r="W180" s="35" t="s">
        <v>87</v>
      </c>
      <c r="X180" s="36" t="s">
        <v>87</v>
      </c>
      <c r="Y180" s="36"/>
      <c r="Z180" s="36" t="s">
        <v>87</v>
      </c>
      <c r="AA180" s="37" t="s">
        <v>87</v>
      </c>
      <c r="AB180" s="38"/>
      <c r="AC180" s="39"/>
      <c r="AD180" s="40"/>
      <c r="AE180" s="41"/>
      <c r="AF180" s="42"/>
      <c r="AG180" s="42"/>
      <c r="AH180" s="42"/>
      <c r="AI180" s="43"/>
      <c r="AJ180" s="44"/>
      <c r="AK180" s="45"/>
      <c r="AL180" s="45"/>
      <c r="AM180" s="45"/>
      <c r="AN180" s="46"/>
      <c r="AO180" s="47"/>
      <c r="AP180" s="48"/>
      <c r="AQ180" s="48"/>
      <c r="AR180" s="48"/>
      <c r="AS180" s="48"/>
      <c r="AT180" s="49"/>
      <c r="AU180" s="50"/>
      <c r="AV180" s="51"/>
      <c r="AW180" s="51"/>
      <c r="AX180" s="52"/>
      <c r="AY180" s="53"/>
      <c r="AZ180" s="80"/>
      <c r="BA180" s="54"/>
      <c r="BB180" s="55"/>
      <c r="BC180" s="55"/>
      <c r="BD180" s="55"/>
      <c r="BE180" s="55"/>
      <c r="BF180" s="55"/>
      <c r="BG180" s="56"/>
      <c r="BH180" s="57" t="s">
        <v>87</v>
      </c>
      <c r="BI180" s="58" t="s">
        <v>87</v>
      </c>
      <c r="BJ180" s="58" t="s">
        <v>87</v>
      </c>
      <c r="BK180" s="58" t="s">
        <v>87</v>
      </c>
      <c r="BL180" s="58" t="s">
        <v>87</v>
      </c>
      <c r="BM180" s="58" t="s">
        <v>87</v>
      </c>
      <c r="BN180" s="58" t="s">
        <v>87</v>
      </c>
      <c r="BO180" s="58" t="s">
        <v>87</v>
      </c>
    </row>
    <row r="181" spans="1:67" ht="28.5" customHeight="1" x14ac:dyDescent="0.35">
      <c r="A181" s="66" t="s">
        <v>977</v>
      </c>
      <c r="B181" s="66">
        <v>83154883548</v>
      </c>
      <c r="C181" s="66" t="s">
        <v>87</v>
      </c>
      <c r="D181" s="66" t="s">
        <v>978</v>
      </c>
      <c r="E181" s="66" t="s">
        <v>779</v>
      </c>
      <c r="F181" s="66" t="s">
        <v>83</v>
      </c>
      <c r="G181" s="66" t="str">
        <f>"2000"</f>
        <v>2000</v>
      </c>
      <c r="H181" s="66" t="str">
        <f>"02 9458 8821"</f>
        <v>02 9458 8821</v>
      </c>
      <c r="I181" s="66" t="str">
        <f>"0421413801"</f>
        <v>0421413801</v>
      </c>
      <c r="J181" s="68" t="s">
        <v>979</v>
      </c>
      <c r="K181" s="68" t="s">
        <v>980</v>
      </c>
      <c r="L181" s="59"/>
      <c r="M181" s="60"/>
      <c r="N181" s="60"/>
      <c r="O181" s="60"/>
      <c r="P181" s="60"/>
      <c r="Q181" s="61"/>
      <c r="R181" s="32"/>
      <c r="S181" s="33"/>
      <c r="T181" s="33"/>
      <c r="U181" s="33"/>
      <c r="V181" s="34"/>
      <c r="W181" s="35" t="s">
        <v>87</v>
      </c>
      <c r="X181" s="36" t="s">
        <v>87</v>
      </c>
      <c r="Y181" s="36"/>
      <c r="Z181" s="36"/>
      <c r="AA181" s="37" t="s">
        <v>87</v>
      </c>
      <c r="AB181" s="38"/>
      <c r="AC181" s="39"/>
      <c r="AD181" s="40"/>
      <c r="AE181" s="41"/>
      <c r="AF181" s="42"/>
      <c r="AG181" s="42"/>
      <c r="AH181" s="42"/>
      <c r="AI181" s="43"/>
      <c r="AJ181" s="44"/>
      <c r="AK181" s="45"/>
      <c r="AL181" s="45"/>
      <c r="AM181" s="45"/>
      <c r="AN181" s="46"/>
      <c r="AO181" s="47"/>
      <c r="AP181" s="48"/>
      <c r="AQ181" s="48"/>
      <c r="AR181" s="48"/>
      <c r="AS181" s="48"/>
      <c r="AT181" s="49"/>
      <c r="AU181" s="50"/>
      <c r="AV181" s="51"/>
      <c r="AW181" s="51"/>
      <c r="AX181" s="52"/>
      <c r="AY181" s="53"/>
      <c r="AZ181" s="80"/>
      <c r="BA181" s="54"/>
      <c r="BB181" s="55"/>
      <c r="BC181" s="55" t="s">
        <v>87</v>
      </c>
      <c r="BD181" s="55" t="s">
        <v>87</v>
      </c>
      <c r="BE181" s="55"/>
      <c r="BF181" s="55" t="s">
        <v>87</v>
      </c>
      <c r="BG181" s="56"/>
      <c r="BH181" s="57"/>
      <c r="BI181" s="58"/>
      <c r="BJ181" s="58"/>
      <c r="BK181" s="58"/>
      <c r="BL181" s="58"/>
      <c r="BM181" s="58"/>
      <c r="BN181" s="58"/>
      <c r="BO181" s="58"/>
    </row>
    <row r="182" spans="1:67" ht="28.5" customHeight="1" x14ac:dyDescent="0.35">
      <c r="A182" s="66" t="s">
        <v>981</v>
      </c>
      <c r="B182" s="66">
        <v>88092011268</v>
      </c>
      <c r="C182" s="66" t="s">
        <v>80</v>
      </c>
      <c r="D182" s="66" t="s">
        <v>982</v>
      </c>
      <c r="E182" s="66" t="s">
        <v>152</v>
      </c>
      <c r="F182" s="66" t="s">
        <v>83</v>
      </c>
      <c r="G182" s="66" t="str">
        <f>"2011"</f>
        <v>2011</v>
      </c>
      <c r="H182" s="66" t="str">
        <f>"02 8356 1999"</f>
        <v>02 8356 1999</v>
      </c>
      <c r="I182" s="66" t="str">
        <f>"0413888685"</f>
        <v>0413888685</v>
      </c>
      <c r="J182" s="68" t="s">
        <v>983</v>
      </c>
      <c r="K182" s="68" t="s">
        <v>984</v>
      </c>
      <c r="L182" s="59"/>
      <c r="M182" s="60"/>
      <c r="N182" s="60"/>
      <c r="O182" s="60"/>
      <c r="P182" s="60"/>
      <c r="Q182" s="61"/>
      <c r="R182" s="32"/>
      <c r="S182" s="33"/>
      <c r="T182" s="33"/>
      <c r="U182" s="33"/>
      <c r="V182" s="34"/>
      <c r="W182" s="35"/>
      <c r="X182" s="36" t="s">
        <v>87</v>
      </c>
      <c r="Y182" s="36"/>
      <c r="Z182" s="36"/>
      <c r="AA182" s="37"/>
      <c r="AB182" s="38"/>
      <c r="AC182" s="39"/>
      <c r="AD182" s="40"/>
      <c r="AE182" s="41"/>
      <c r="AF182" s="42"/>
      <c r="AG182" s="42"/>
      <c r="AH182" s="42"/>
      <c r="AI182" s="43"/>
      <c r="AJ182" s="44"/>
      <c r="AK182" s="45"/>
      <c r="AL182" s="45"/>
      <c r="AM182" s="45"/>
      <c r="AN182" s="46"/>
      <c r="AO182" s="47"/>
      <c r="AP182" s="48"/>
      <c r="AQ182" s="48"/>
      <c r="AR182" s="48"/>
      <c r="AS182" s="48"/>
      <c r="AT182" s="49"/>
      <c r="AU182" s="50"/>
      <c r="AV182" s="51"/>
      <c r="AW182" s="51"/>
      <c r="AX182" s="52"/>
      <c r="AY182" s="53"/>
      <c r="AZ182" s="80"/>
      <c r="BA182" s="54"/>
      <c r="BB182" s="55"/>
      <c r="BC182" s="55"/>
      <c r="BD182" s="55" t="s">
        <v>87</v>
      </c>
      <c r="BE182" s="55"/>
      <c r="BF182" s="55"/>
      <c r="BG182" s="56"/>
      <c r="BH182" s="57" t="s">
        <v>87</v>
      </c>
      <c r="BI182" s="58" t="s">
        <v>87</v>
      </c>
      <c r="BJ182" s="58" t="s">
        <v>87</v>
      </c>
      <c r="BK182" s="58" t="s">
        <v>87</v>
      </c>
      <c r="BL182" s="58"/>
      <c r="BM182" s="58"/>
      <c r="BN182" s="58"/>
      <c r="BO182" s="58"/>
    </row>
    <row r="183" spans="1:67" ht="28.5" customHeight="1" x14ac:dyDescent="0.35">
      <c r="A183" s="66" t="s">
        <v>985</v>
      </c>
      <c r="B183" s="66" t="s">
        <v>986</v>
      </c>
      <c r="C183" s="66" t="s">
        <v>80</v>
      </c>
      <c r="D183" s="66" t="s">
        <v>987</v>
      </c>
      <c r="E183" s="66" t="s">
        <v>132</v>
      </c>
      <c r="F183" s="66" t="s">
        <v>83</v>
      </c>
      <c r="G183" s="66">
        <v>2533</v>
      </c>
      <c r="H183" s="66"/>
      <c r="I183" s="67" t="s">
        <v>988</v>
      </c>
      <c r="J183" s="68" t="s">
        <v>989</v>
      </c>
      <c r="K183" s="68" t="s">
        <v>990</v>
      </c>
      <c r="L183" s="59"/>
      <c r="M183" s="60"/>
      <c r="N183" s="60"/>
      <c r="O183" s="60"/>
      <c r="P183" s="60"/>
      <c r="Q183" s="61"/>
      <c r="R183" s="32"/>
      <c r="S183" s="33"/>
      <c r="T183" s="33"/>
      <c r="U183" s="33"/>
      <c r="V183" s="34"/>
      <c r="W183" s="35"/>
      <c r="X183" s="36"/>
      <c r="Y183" s="36"/>
      <c r="Z183" s="36"/>
      <c r="AA183" s="37"/>
      <c r="AB183" s="38"/>
      <c r="AC183" s="39"/>
      <c r="AD183" s="40"/>
      <c r="AE183" s="41"/>
      <c r="AF183" s="42"/>
      <c r="AG183" s="42"/>
      <c r="AH183" s="42"/>
      <c r="AI183" s="43"/>
      <c r="AJ183" s="44"/>
      <c r="AK183" s="45"/>
      <c r="AL183" s="45"/>
      <c r="AM183" s="45"/>
      <c r="AN183" s="46"/>
      <c r="AO183" s="47"/>
      <c r="AP183" s="48"/>
      <c r="AQ183" s="48"/>
      <c r="AR183" s="48"/>
      <c r="AS183" s="48"/>
      <c r="AT183" s="49"/>
      <c r="AU183" s="50"/>
      <c r="AV183" s="51"/>
      <c r="AW183" s="51"/>
      <c r="AX183" s="52"/>
      <c r="AY183" s="53"/>
      <c r="AZ183" s="80"/>
      <c r="BA183" s="54"/>
      <c r="BB183" s="55"/>
      <c r="BC183" s="55"/>
      <c r="BD183" s="55"/>
      <c r="BE183" s="55"/>
      <c r="BF183" s="55"/>
      <c r="BG183" s="56"/>
      <c r="BH183" s="57"/>
      <c r="BI183" s="58" t="s">
        <v>87</v>
      </c>
      <c r="BJ183" s="58" t="s">
        <v>87</v>
      </c>
      <c r="BK183" s="58" t="s">
        <v>87</v>
      </c>
      <c r="BL183" s="58" t="s">
        <v>87</v>
      </c>
      <c r="BM183" s="58" t="s">
        <v>87</v>
      </c>
      <c r="BN183" s="58" t="s">
        <v>87</v>
      </c>
      <c r="BO183" s="58" t="s">
        <v>87</v>
      </c>
    </row>
    <row r="184" spans="1:67" ht="28.5" customHeight="1" x14ac:dyDescent="0.35">
      <c r="A184" s="69" t="s">
        <v>991</v>
      </c>
      <c r="B184" s="69">
        <v>50005373508</v>
      </c>
      <c r="C184" s="69" t="s">
        <v>80</v>
      </c>
      <c r="D184" s="69" t="s">
        <v>992</v>
      </c>
      <c r="E184" s="69" t="s">
        <v>993</v>
      </c>
      <c r="F184" s="66" t="s">
        <v>83</v>
      </c>
      <c r="G184" s="66" t="str">
        <f>"2000"</f>
        <v>2000</v>
      </c>
      <c r="H184" s="69" t="s">
        <v>994</v>
      </c>
      <c r="I184" s="71" t="s">
        <v>995</v>
      </c>
      <c r="J184" s="70" t="s">
        <v>996</v>
      </c>
      <c r="K184" s="70" t="s">
        <v>997</v>
      </c>
      <c r="L184" s="59"/>
      <c r="M184" s="60"/>
      <c r="N184" s="60"/>
      <c r="O184" s="60"/>
      <c r="P184" s="60"/>
      <c r="Q184" s="61"/>
      <c r="R184" s="32"/>
      <c r="S184" s="33"/>
      <c r="T184" s="33"/>
      <c r="U184" s="33"/>
      <c r="V184" s="34"/>
      <c r="W184" s="36" t="s">
        <v>87</v>
      </c>
      <c r="X184" s="36" t="s">
        <v>87</v>
      </c>
      <c r="Y184" s="36"/>
      <c r="Z184" s="36"/>
      <c r="AA184" s="36" t="s">
        <v>87</v>
      </c>
      <c r="AB184" s="38"/>
      <c r="AC184" s="39"/>
      <c r="AD184" s="40"/>
      <c r="AE184" s="41" t="s">
        <v>87</v>
      </c>
      <c r="AF184" s="42" t="s">
        <v>87</v>
      </c>
      <c r="AG184" s="42" t="s">
        <v>87</v>
      </c>
      <c r="AH184" s="42" t="s">
        <v>87</v>
      </c>
      <c r="AI184" s="43" t="s">
        <v>87</v>
      </c>
      <c r="AJ184" s="44"/>
      <c r="AK184" s="45"/>
      <c r="AL184" s="45"/>
      <c r="AM184" s="45"/>
      <c r="AN184" s="46"/>
      <c r="AO184" s="47"/>
      <c r="AP184" s="48"/>
      <c r="AQ184" s="48"/>
      <c r="AR184" s="48"/>
      <c r="AS184" s="48"/>
      <c r="AT184" s="49"/>
      <c r="AU184" s="50"/>
      <c r="AV184" s="51"/>
      <c r="AW184" s="51"/>
      <c r="AX184" s="52"/>
      <c r="AY184" s="53"/>
      <c r="AZ184" s="80"/>
      <c r="BA184" s="54" t="s">
        <v>87</v>
      </c>
      <c r="BB184" s="55" t="s">
        <v>87</v>
      </c>
      <c r="BC184" s="55" t="s">
        <v>87</v>
      </c>
      <c r="BD184" s="55" t="s">
        <v>87</v>
      </c>
      <c r="BE184" s="55" t="s">
        <v>87</v>
      </c>
      <c r="BF184" s="55" t="s">
        <v>87</v>
      </c>
      <c r="BG184" s="56"/>
      <c r="BH184" s="57"/>
      <c r="BI184" s="58"/>
      <c r="BJ184" s="58"/>
      <c r="BK184" s="58"/>
      <c r="BL184" s="58"/>
      <c r="BM184" s="58"/>
      <c r="BN184" s="58"/>
      <c r="BO184" s="58"/>
    </row>
    <row r="185" spans="1:67" ht="28.5" customHeight="1" x14ac:dyDescent="0.35">
      <c r="A185" s="66" t="s">
        <v>998</v>
      </c>
      <c r="B185" s="66">
        <v>83613410692</v>
      </c>
      <c r="C185" s="66" t="s">
        <v>80</v>
      </c>
      <c r="D185" s="66" t="s">
        <v>999</v>
      </c>
      <c r="E185" s="66" t="s">
        <v>1000</v>
      </c>
      <c r="F185" s="66" t="s">
        <v>83</v>
      </c>
      <c r="G185" s="66">
        <v>2017</v>
      </c>
      <c r="H185" s="67" t="s">
        <v>1001</v>
      </c>
      <c r="I185" s="67" t="s">
        <v>1002</v>
      </c>
      <c r="J185" s="68" t="s">
        <v>1003</v>
      </c>
      <c r="K185" s="68" t="s">
        <v>1004</v>
      </c>
      <c r="L185" s="59"/>
      <c r="M185" s="60"/>
      <c r="N185" s="60"/>
      <c r="O185" s="60"/>
      <c r="P185" s="60"/>
      <c r="Q185" s="61"/>
      <c r="R185" s="32"/>
      <c r="S185" s="33"/>
      <c r="T185" s="33"/>
      <c r="U185" s="33"/>
      <c r="V185" s="34"/>
      <c r="W185" s="36"/>
      <c r="X185" s="36" t="s">
        <v>87</v>
      </c>
      <c r="Y185" s="36" t="s">
        <v>87</v>
      </c>
      <c r="Z185" s="36"/>
      <c r="AA185" s="36"/>
      <c r="AB185" s="38"/>
      <c r="AC185" s="39"/>
      <c r="AD185" s="40" t="s">
        <v>87</v>
      </c>
      <c r="AE185" s="41"/>
      <c r="AF185" s="42"/>
      <c r="AG185" s="42"/>
      <c r="AH185" s="42"/>
      <c r="AI185" s="43"/>
      <c r="AJ185" s="44"/>
      <c r="AK185" s="45"/>
      <c r="AL185" s="45"/>
      <c r="AM185" s="45"/>
      <c r="AN185" s="46"/>
      <c r="AO185" s="47"/>
      <c r="AP185" s="48"/>
      <c r="AQ185" s="48"/>
      <c r="AR185" s="48"/>
      <c r="AS185" s="48"/>
      <c r="AT185" s="49"/>
      <c r="AU185" s="50"/>
      <c r="AV185" s="51"/>
      <c r="AW185" s="51"/>
      <c r="AX185" s="52"/>
      <c r="AY185" s="53"/>
      <c r="AZ185" s="80"/>
      <c r="BA185" s="54"/>
      <c r="BB185" s="55"/>
      <c r="BC185" s="55"/>
      <c r="BD185" s="55"/>
      <c r="BE185" s="55"/>
      <c r="BF185" s="55"/>
      <c r="BG185" s="56"/>
      <c r="BH185" s="57"/>
      <c r="BI185" s="58"/>
      <c r="BJ185" s="58"/>
      <c r="BK185" s="58"/>
      <c r="BL185" s="58"/>
      <c r="BM185" s="58"/>
      <c r="BN185" s="58"/>
      <c r="BO185" s="58"/>
    </row>
    <row r="186" spans="1:67" ht="28.5" customHeight="1" x14ac:dyDescent="0.35">
      <c r="A186" s="66" t="s">
        <v>1005</v>
      </c>
      <c r="B186" s="66">
        <v>14103425850</v>
      </c>
      <c r="C186" s="66" t="s">
        <v>80</v>
      </c>
      <c r="D186" s="66" t="s">
        <v>1006</v>
      </c>
      <c r="E186" s="66" t="s">
        <v>90</v>
      </c>
      <c r="F186" s="66" t="s">
        <v>107</v>
      </c>
      <c r="G186" s="66" t="str">
        <f>"2609"</f>
        <v>2609</v>
      </c>
      <c r="H186" s="66" t="str">
        <f>"02 6202 8000"</f>
        <v>02 6202 8000</v>
      </c>
      <c r="I186" s="66" t="str">
        <f>"0417492560"</f>
        <v>0417492560</v>
      </c>
      <c r="J186" s="68" t="s">
        <v>1007</v>
      </c>
      <c r="K186" s="68" t="s">
        <v>1008</v>
      </c>
      <c r="L186" s="59"/>
      <c r="M186" s="60"/>
      <c r="N186" s="60"/>
      <c r="O186" s="60"/>
      <c r="P186" s="60"/>
      <c r="Q186" s="61"/>
      <c r="R186" s="32"/>
      <c r="S186" s="33"/>
      <c r="T186" s="33"/>
      <c r="U186" s="33"/>
      <c r="V186" s="34"/>
      <c r="W186" s="36"/>
      <c r="X186" s="36"/>
      <c r="Y186" s="36"/>
      <c r="Z186" s="36"/>
      <c r="AA186" s="36"/>
      <c r="AB186" s="38"/>
      <c r="AC186" s="39"/>
      <c r="AD186" s="40"/>
      <c r="AE186" s="41"/>
      <c r="AF186" s="42"/>
      <c r="AG186" s="42"/>
      <c r="AH186" s="42"/>
      <c r="AI186" s="43"/>
      <c r="AJ186" s="44"/>
      <c r="AK186" s="45"/>
      <c r="AL186" s="45"/>
      <c r="AM186" s="45"/>
      <c r="AN186" s="46"/>
      <c r="AO186" s="47"/>
      <c r="AP186" s="48"/>
      <c r="AQ186" s="48"/>
      <c r="AR186" s="48"/>
      <c r="AS186" s="48"/>
      <c r="AT186" s="49"/>
      <c r="AU186" s="50" t="s">
        <v>87</v>
      </c>
      <c r="AV186" s="51" t="s">
        <v>87</v>
      </c>
      <c r="AW186" s="51" t="s">
        <v>87</v>
      </c>
      <c r="AX186" s="52" t="s">
        <v>87</v>
      </c>
      <c r="AY186" s="53"/>
      <c r="AZ186" s="80"/>
      <c r="BA186" s="54"/>
      <c r="BB186" s="55"/>
      <c r="BC186" s="55"/>
      <c r="BD186" s="55"/>
      <c r="BE186" s="55"/>
      <c r="BF186" s="55"/>
      <c r="BG186" s="56"/>
      <c r="BH186" s="57"/>
      <c r="BI186" s="58"/>
      <c r="BJ186" s="58"/>
      <c r="BK186" s="58"/>
      <c r="BL186" s="58"/>
      <c r="BM186" s="58"/>
      <c r="BN186" s="58"/>
      <c r="BO186" s="58"/>
    </row>
    <row r="187" spans="1:67" ht="28.5" customHeight="1" x14ac:dyDescent="0.35">
      <c r="A187" s="66" t="s">
        <v>1009</v>
      </c>
      <c r="B187" s="66">
        <v>42150241535</v>
      </c>
      <c r="C187" s="66" t="s">
        <v>80</v>
      </c>
      <c r="D187" s="66" t="s">
        <v>1010</v>
      </c>
      <c r="E187" s="66" t="s">
        <v>1011</v>
      </c>
      <c r="F187" s="66" t="s">
        <v>83</v>
      </c>
      <c r="G187" s="66" t="str">
        <f>"2010"</f>
        <v>2010</v>
      </c>
      <c r="H187" s="66" t="str">
        <f>"02 9045 1485"</f>
        <v>02 9045 1485</v>
      </c>
      <c r="I187" s="66" t="str">
        <f>"0400499881"</f>
        <v>0400499881</v>
      </c>
      <c r="J187" s="68" t="s">
        <v>1012</v>
      </c>
      <c r="K187" s="68" t="s">
        <v>1013</v>
      </c>
      <c r="L187" s="59"/>
      <c r="M187" s="60"/>
      <c r="N187" s="60"/>
      <c r="O187" s="60"/>
      <c r="P187" s="60"/>
      <c r="Q187" s="61"/>
      <c r="R187" s="32" t="s">
        <v>87</v>
      </c>
      <c r="S187" s="33" t="s">
        <v>87</v>
      </c>
      <c r="T187" s="33" t="s">
        <v>87</v>
      </c>
      <c r="U187" s="33" t="s">
        <v>87</v>
      </c>
      <c r="V187" s="34" t="s">
        <v>87</v>
      </c>
      <c r="W187" s="35" t="s">
        <v>87</v>
      </c>
      <c r="X187" s="36" t="s">
        <v>87</v>
      </c>
      <c r="Y187" s="36"/>
      <c r="Z187" s="36" t="s">
        <v>87</v>
      </c>
      <c r="AA187" s="37" t="s">
        <v>87</v>
      </c>
      <c r="AB187" s="38"/>
      <c r="AC187" s="39"/>
      <c r="AD187" s="40"/>
      <c r="AE187" s="41" t="s">
        <v>87</v>
      </c>
      <c r="AF187" s="42" t="s">
        <v>87</v>
      </c>
      <c r="AG187" s="42"/>
      <c r="AH187" s="42"/>
      <c r="AI187" s="43" t="s">
        <v>87</v>
      </c>
      <c r="AJ187" s="44"/>
      <c r="AK187" s="45"/>
      <c r="AL187" s="45"/>
      <c r="AM187" s="45"/>
      <c r="AN187" s="46"/>
      <c r="AO187" s="47"/>
      <c r="AP187" s="48"/>
      <c r="AQ187" s="48"/>
      <c r="AR187" s="48"/>
      <c r="AS187" s="48"/>
      <c r="AT187" s="49"/>
      <c r="AU187" s="50"/>
      <c r="AV187" s="51"/>
      <c r="AW187" s="51"/>
      <c r="AX187" s="52"/>
      <c r="AY187" s="53"/>
      <c r="AZ187" s="80"/>
      <c r="BA187" s="54"/>
      <c r="BB187" s="55"/>
      <c r="BC187" s="55" t="s">
        <v>87</v>
      </c>
      <c r="BD187" s="55" t="s">
        <v>87</v>
      </c>
      <c r="BE187" s="55"/>
      <c r="BF187" s="55" t="s">
        <v>87</v>
      </c>
      <c r="BG187" s="56"/>
      <c r="BH187" s="57" t="s">
        <v>87</v>
      </c>
      <c r="BI187" s="58" t="s">
        <v>87</v>
      </c>
      <c r="BJ187" s="58" t="s">
        <v>87</v>
      </c>
      <c r="BK187" s="58" t="s">
        <v>87</v>
      </c>
      <c r="BL187" s="58" t="s">
        <v>87</v>
      </c>
      <c r="BM187" s="58" t="s">
        <v>87</v>
      </c>
      <c r="BN187" s="58" t="s">
        <v>87</v>
      </c>
      <c r="BO187" s="58" t="s">
        <v>87</v>
      </c>
    </row>
    <row r="188" spans="1:67" ht="28.5" customHeight="1" x14ac:dyDescent="0.35">
      <c r="A188" s="66" t="s">
        <v>1014</v>
      </c>
      <c r="B188" s="66">
        <v>19167028720</v>
      </c>
      <c r="C188" s="66" t="s">
        <v>80</v>
      </c>
      <c r="D188" s="66" t="s">
        <v>1015</v>
      </c>
      <c r="E188" s="66" t="s">
        <v>132</v>
      </c>
      <c r="F188" s="66" t="s">
        <v>83</v>
      </c>
      <c r="G188" s="66" t="str">
        <f>"2040"</f>
        <v>2040</v>
      </c>
      <c r="H188" s="66"/>
      <c r="I188" s="66" t="str">
        <f>"0449843633"</f>
        <v>0449843633</v>
      </c>
      <c r="J188" s="68" t="s">
        <v>1016</v>
      </c>
      <c r="K188" s="68" t="s">
        <v>1017</v>
      </c>
      <c r="L188" s="59"/>
      <c r="M188" s="60"/>
      <c r="N188" s="60"/>
      <c r="O188" s="60"/>
      <c r="P188" s="60"/>
      <c r="Q188" s="61"/>
      <c r="R188" s="32" t="s">
        <v>87</v>
      </c>
      <c r="S188" s="33" t="s">
        <v>87</v>
      </c>
      <c r="T188" s="33" t="s">
        <v>87</v>
      </c>
      <c r="U188" s="33" t="s">
        <v>87</v>
      </c>
      <c r="V188" s="34" t="s">
        <v>87</v>
      </c>
      <c r="W188" s="35" t="s">
        <v>87</v>
      </c>
      <c r="X188" s="36" t="s">
        <v>87</v>
      </c>
      <c r="Y188" s="36" t="s">
        <v>87</v>
      </c>
      <c r="Z188" s="36"/>
      <c r="AA188" s="37" t="s">
        <v>87</v>
      </c>
      <c r="AB188" s="38"/>
      <c r="AC188" s="39"/>
      <c r="AD188" s="40"/>
      <c r="AE188" s="41"/>
      <c r="AF188" s="42"/>
      <c r="AG188" s="42"/>
      <c r="AH188" s="42"/>
      <c r="AI188" s="43"/>
      <c r="AJ188" s="44"/>
      <c r="AK188" s="45"/>
      <c r="AL188" s="45"/>
      <c r="AM188" s="45"/>
      <c r="AN188" s="46"/>
      <c r="AO188" s="47"/>
      <c r="AP188" s="48"/>
      <c r="AQ188" s="48"/>
      <c r="AR188" s="48"/>
      <c r="AS188" s="48"/>
      <c r="AT188" s="49"/>
      <c r="AU188" s="50" t="s">
        <v>87</v>
      </c>
      <c r="AV188" s="51" t="s">
        <v>87</v>
      </c>
      <c r="AW188" s="51" t="s">
        <v>87</v>
      </c>
      <c r="AX188" s="52"/>
      <c r="AY188" s="53"/>
      <c r="AZ188" s="80"/>
      <c r="BA188" s="54" t="s">
        <v>87</v>
      </c>
      <c r="BB188" s="55" t="s">
        <v>87</v>
      </c>
      <c r="BC188" s="55" t="s">
        <v>87</v>
      </c>
      <c r="BD188" s="55" t="s">
        <v>87</v>
      </c>
      <c r="BE188" s="55" t="s">
        <v>87</v>
      </c>
      <c r="BF188" s="55" t="s">
        <v>87</v>
      </c>
      <c r="BG188" s="56"/>
      <c r="BH188" s="57"/>
      <c r="BI188" s="58"/>
      <c r="BJ188" s="58"/>
      <c r="BK188" s="58"/>
      <c r="BL188" s="58"/>
      <c r="BM188" s="58"/>
      <c r="BN188" s="58"/>
      <c r="BO188" s="58"/>
    </row>
    <row r="189" spans="1:67" ht="28.5" customHeight="1" x14ac:dyDescent="0.35">
      <c r="A189" s="66" t="s">
        <v>1018</v>
      </c>
      <c r="B189" s="66">
        <v>38618611975</v>
      </c>
      <c r="C189" s="66" t="s">
        <v>80</v>
      </c>
      <c r="D189" s="66" t="s">
        <v>1019</v>
      </c>
      <c r="E189" s="66" t="s">
        <v>90</v>
      </c>
      <c r="F189" s="66" t="s">
        <v>83</v>
      </c>
      <c r="G189" s="66" t="str">
        <f>"2060"</f>
        <v>2060</v>
      </c>
      <c r="H189" s="66" t="str">
        <f>"02 9318 0200"</f>
        <v>02 9318 0200</v>
      </c>
      <c r="I189" s="66" t="str">
        <f>"0439588070"</f>
        <v>0439588070</v>
      </c>
      <c r="J189" s="68" t="s">
        <v>1020</v>
      </c>
      <c r="K189" s="68" t="s">
        <v>1021</v>
      </c>
      <c r="L189" s="59"/>
      <c r="M189" s="60"/>
      <c r="N189" s="60"/>
      <c r="O189" s="60"/>
      <c r="P189" s="60"/>
      <c r="Q189" s="61"/>
      <c r="R189" s="32"/>
      <c r="S189" s="33"/>
      <c r="T189" s="33"/>
      <c r="U189" s="33"/>
      <c r="V189" s="34"/>
      <c r="W189" s="35" t="s">
        <v>87</v>
      </c>
      <c r="X189" s="36" t="s">
        <v>87</v>
      </c>
      <c r="Y189" s="36" t="s">
        <v>87</v>
      </c>
      <c r="Z189" s="36" t="s">
        <v>87</v>
      </c>
      <c r="AA189" s="37" t="s">
        <v>87</v>
      </c>
      <c r="AB189" s="38"/>
      <c r="AC189" s="39"/>
      <c r="AD189" s="40"/>
      <c r="AE189" s="41"/>
      <c r="AF189" s="42"/>
      <c r="AG189" s="42"/>
      <c r="AH189" s="42"/>
      <c r="AI189" s="43"/>
      <c r="AJ189" s="44"/>
      <c r="AK189" s="45"/>
      <c r="AL189" s="45"/>
      <c r="AM189" s="45"/>
      <c r="AN189" s="46"/>
      <c r="AO189" s="47"/>
      <c r="AP189" s="48"/>
      <c r="AQ189" s="48"/>
      <c r="AR189" s="48"/>
      <c r="AS189" s="48"/>
      <c r="AT189" s="49"/>
      <c r="AU189" s="50" t="s">
        <v>87</v>
      </c>
      <c r="AV189" s="51" t="s">
        <v>87</v>
      </c>
      <c r="AW189" s="51" t="s">
        <v>87</v>
      </c>
      <c r="AX189" s="52" t="s">
        <v>87</v>
      </c>
      <c r="AY189" s="53"/>
      <c r="AZ189" s="80"/>
      <c r="BA189" s="54"/>
      <c r="BB189" s="55"/>
      <c r="BC189" s="55"/>
      <c r="BD189" s="55"/>
      <c r="BE189" s="55"/>
      <c r="BF189" s="55"/>
      <c r="BG189" s="56"/>
      <c r="BH189" s="57" t="s">
        <v>87</v>
      </c>
      <c r="BI189" s="58" t="s">
        <v>87</v>
      </c>
      <c r="BJ189" s="58" t="s">
        <v>87</v>
      </c>
      <c r="BK189" s="58" t="s">
        <v>87</v>
      </c>
      <c r="BL189" s="58" t="s">
        <v>87</v>
      </c>
      <c r="BM189" s="58" t="s">
        <v>87</v>
      </c>
      <c r="BN189" s="58" t="s">
        <v>87</v>
      </c>
      <c r="BO189" s="58" t="s">
        <v>87</v>
      </c>
    </row>
    <row r="190" spans="1:67" ht="28.5" customHeight="1" x14ac:dyDescent="0.35">
      <c r="A190" s="66" t="s">
        <v>1022</v>
      </c>
      <c r="B190" s="66">
        <v>65082542292</v>
      </c>
      <c r="C190" s="66" t="s">
        <v>80</v>
      </c>
      <c r="D190" s="66" t="s">
        <v>1023</v>
      </c>
      <c r="E190" s="66" t="s">
        <v>935</v>
      </c>
      <c r="F190" s="66" t="s">
        <v>83</v>
      </c>
      <c r="G190" s="66" t="str">
        <f>"2230"</f>
        <v>2230</v>
      </c>
      <c r="H190" s="66" t="str">
        <f>"02 9544 3200"</f>
        <v>02 9544 3200</v>
      </c>
      <c r="I190" s="66" t="str">
        <f>"0411586000"</f>
        <v>0411586000</v>
      </c>
      <c r="J190" s="68" t="s">
        <v>1024</v>
      </c>
      <c r="K190" s="68" t="s">
        <v>1025</v>
      </c>
      <c r="L190" s="59"/>
      <c r="M190" s="60"/>
      <c r="N190" s="60"/>
      <c r="O190" s="60"/>
      <c r="P190" s="60"/>
      <c r="Q190" s="61"/>
      <c r="R190" s="32" t="s">
        <v>87</v>
      </c>
      <c r="S190" s="33" t="s">
        <v>87</v>
      </c>
      <c r="T190" s="33" t="s">
        <v>87</v>
      </c>
      <c r="U190" s="33"/>
      <c r="V190" s="34" t="s">
        <v>87</v>
      </c>
      <c r="W190" s="35" t="s">
        <v>87</v>
      </c>
      <c r="X190" s="36" t="s">
        <v>87</v>
      </c>
      <c r="Y190" s="36" t="s">
        <v>87</v>
      </c>
      <c r="Z190" s="36" t="s">
        <v>87</v>
      </c>
      <c r="AA190" s="37" t="s">
        <v>87</v>
      </c>
      <c r="AB190" s="38"/>
      <c r="AC190" s="39"/>
      <c r="AD190" s="40"/>
      <c r="AE190" s="41"/>
      <c r="AF190" s="42"/>
      <c r="AG190" s="42"/>
      <c r="AH190" s="42"/>
      <c r="AI190" s="43"/>
      <c r="AJ190" s="44"/>
      <c r="AK190" s="45"/>
      <c r="AL190" s="45"/>
      <c r="AM190" s="45"/>
      <c r="AN190" s="46"/>
      <c r="AO190" s="47"/>
      <c r="AP190" s="48"/>
      <c r="AQ190" s="48"/>
      <c r="AR190" s="48"/>
      <c r="AS190" s="48"/>
      <c r="AT190" s="49"/>
      <c r="AU190" s="50" t="s">
        <v>87</v>
      </c>
      <c r="AV190" s="51" t="s">
        <v>87</v>
      </c>
      <c r="AW190" s="51" t="s">
        <v>87</v>
      </c>
      <c r="AX190" s="52" t="s">
        <v>87</v>
      </c>
      <c r="AY190" s="53"/>
      <c r="AZ190" s="80"/>
      <c r="BA190" s="54"/>
      <c r="BB190" s="55"/>
      <c r="BC190" s="55"/>
      <c r="BD190" s="55"/>
      <c r="BE190" s="55"/>
      <c r="BF190" s="55"/>
      <c r="BG190" s="56"/>
      <c r="BH190" s="57"/>
      <c r="BI190" s="58"/>
      <c r="BJ190" s="58"/>
      <c r="BK190" s="58"/>
      <c r="BL190" s="58"/>
      <c r="BM190" s="58"/>
      <c r="BN190" s="58"/>
      <c r="BO190" s="58"/>
    </row>
    <row r="191" spans="1:67" ht="28.5" customHeight="1" x14ac:dyDescent="0.35">
      <c r="A191" s="66" t="s">
        <v>1026</v>
      </c>
      <c r="B191" s="66">
        <v>97117883173</v>
      </c>
      <c r="C191" s="66" t="s">
        <v>80</v>
      </c>
      <c r="D191" s="66" t="s">
        <v>1027</v>
      </c>
      <c r="E191" s="66" t="s">
        <v>342</v>
      </c>
      <c r="F191" s="66" t="s">
        <v>83</v>
      </c>
      <c r="G191" s="66" t="str">
        <f>"2000"</f>
        <v>2000</v>
      </c>
      <c r="H191" s="66" t="str">
        <f>"02 8099 3200"</f>
        <v>02 8099 3200</v>
      </c>
      <c r="I191" s="66" t="str">
        <f>""</f>
        <v/>
      </c>
      <c r="J191" s="68" t="s">
        <v>1028</v>
      </c>
      <c r="K191" s="68" t="s">
        <v>1029</v>
      </c>
      <c r="L191" s="59"/>
      <c r="M191" s="60"/>
      <c r="N191" s="60"/>
      <c r="O191" s="60"/>
      <c r="P191" s="60"/>
      <c r="Q191" s="61"/>
      <c r="R191" s="32" t="s">
        <v>87</v>
      </c>
      <c r="S191" s="33" t="s">
        <v>87</v>
      </c>
      <c r="T191" s="33" t="s">
        <v>87</v>
      </c>
      <c r="U191" s="33" t="s">
        <v>87</v>
      </c>
      <c r="V191" s="34" t="s">
        <v>87</v>
      </c>
      <c r="W191" s="35"/>
      <c r="X191" s="36"/>
      <c r="Y191" s="36"/>
      <c r="Z191" s="36"/>
      <c r="AA191" s="37"/>
      <c r="AB191" s="38" t="s">
        <v>87</v>
      </c>
      <c r="AC191" s="39" t="s">
        <v>87</v>
      </c>
      <c r="AD191" s="40" t="s">
        <v>87</v>
      </c>
      <c r="AE191" s="41"/>
      <c r="AF191" s="42"/>
      <c r="AG191" s="42"/>
      <c r="AH191" s="42"/>
      <c r="AI191" s="43"/>
      <c r="AJ191" s="44"/>
      <c r="AK191" s="45"/>
      <c r="AL191" s="45"/>
      <c r="AM191" s="45"/>
      <c r="AN191" s="46"/>
      <c r="AO191" s="47"/>
      <c r="AP191" s="48"/>
      <c r="AQ191" s="48"/>
      <c r="AR191" s="48"/>
      <c r="AS191" s="48"/>
      <c r="AT191" s="49"/>
      <c r="AU191" s="50" t="s">
        <v>87</v>
      </c>
      <c r="AV191" s="51" t="s">
        <v>87</v>
      </c>
      <c r="AW191" s="51" t="s">
        <v>87</v>
      </c>
      <c r="AX191" s="52" t="s">
        <v>87</v>
      </c>
      <c r="AY191" s="53"/>
      <c r="AZ191" s="80"/>
      <c r="BA191" s="54"/>
      <c r="BB191" s="55"/>
      <c r="BC191" s="55"/>
      <c r="BD191" s="55"/>
      <c r="BE191" s="55"/>
      <c r="BF191" s="55"/>
      <c r="BG191" s="56"/>
      <c r="BH191" s="57"/>
      <c r="BI191" s="58"/>
      <c r="BJ191" s="58"/>
      <c r="BK191" s="58"/>
      <c r="BL191" s="58"/>
      <c r="BM191" s="58"/>
      <c r="BN191" s="58"/>
      <c r="BO191" s="58"/>
    </row>
    <row r="192" spans="1:67" ht="28.5" customHeight="1" x14ac:dyDescent="0.35">
      <c r="A192" s="66" t="s">
        <v>1030</v>
      </c>
      <c r="B192" s="66">
        <v>92126058464</v>
      </c>
      <c r="C192" s="66" t="s">
        <v>80</v>
      </c>
      <c r="D192" s="66" t="s">
        <v>1031</v>
      </c>
      <c r="E192" s="66" t="s">
        <v>90</v>
      </c>
      <c r="F192" s="66" t="s">
        <v>83</v>
      </c>
      <c r="G192" s="66">
        <v>2010</v>
      </c>
      <c r="H192" s="66" t="s">
        <v>1032</v>
      </c>
      <c r="I192" s="67" t="s">
        <v>1033</v>
      </c>
      <c r="J192" s="68" t="s">
        <v>1034</v>
      </c>
      <c r="K192" s="68" t="s">
        <v>1035</v>
      </c>
      <c r="L192" s="59" t="s">
        <v>87</v>
      </c>
      <c r="M192" s="60"/>
      <c r="N192" s="60" t="s">
        <v>87</v>
      </c>
      <c r="O192" s="60"/>
      <c r="P192" s="60" t="s">
        <v>87</v>
      </c>
      <c r="Q192" s="61" t="s">
        <v>87</v>
      </c>
      <c r="R192" s="32"/>
      <c r="S192" s="33"/>
      <c r="T192" s="33"/>
      <c r="U192" s="33"/>
      <c r="V192" s="34"/>
      <c r="W192" s="35"/>
      <c r="X192" s="36"/>
      <c r="Y192" s="36"/>
      <c r="Z192" s="36"/>
      <c r="AA192" s="37"/>
      <c r="AB192" s="38"/>
      <c r="AC192" s="39"/>
      <c r="AD192" s="40"/>
      <c r="AE192" s="41"/>
      <c r="AF192" s="42"/>
      <c r="AG192" s="42"/>
      <c r="AH192" s="42"/>
      <c r="AI192" s="43"/>
      <c r="AJ192" s="44"/>
      <c r="AK192" s="45"/>
      <c r="AL192" s="45"/>
      <c r="AM192" s="45"/>
      <c r="AN192" s="46"/>
      <c r="AO192" s="47"/>
      <c r="AP192" s="48"/>
      <c r="AQ192" s="48"/>
      <c r="AR192" s="48"/>
      <c r="AS192" s="48"/>
      <c r="AT192" s="49"/>
      <c r="AU192" s="50" t="s">
        <v>87</v>
      </c>
      <c r="AV192" s="51"/>
      <c r="AW192" s="51" t="s">
        <v>87</v>
      </c>
      <c r="AX192" s="52"/>
      <c r="AY192" s="53"/>
      <c r="AZ192" s="80"/>
      <c r="BA192" s="54"/>
      <c r="BB192" s="55" t="s">
        <v>87</v>
      </c>
      <c r="BC192" s="55"/>
      <c r="BD192" s="55" t="s">
        <v>87</v>
      </c>
      <c r="BE192" s="55"/>
      <c r="BF192" s="55"/>
      <c r="BG192" s="56"/>
      <c r="BH192" s="57"/>
      <c r="BI192" s="58"/>
      <c r="BJ192" s="58"/>
      <c r="BK192" s="58"/>
      <c r="BL192" s="58"/>
      <c r="BM192" s="58"/>
      <c r="BN192" s="58"/>
      <c r="BO192" s="58"/>
    </row>
    <row r="193" spans="1:67" ht="28.5" customHeight="1" x14ac:dyDescent="0.35">
      <c r="A193" s="66" t="s">
        <v>1036</v>
      </c>
      <c r="B193" s="66">
        <v>91642892331</v>
      </c>
      <c r="C193" s="66" t="s">
        <v>80</v>
      </c>
      <c r="D193" s="66" t="s">
        <v>1037</v>
      </c>
      <c r="E193" s="66" t="s">
        <v>90</v>
      </c>
      <c r="F193" s="66" t="s">
        <v>83</v>
      </c>
      <c r="G193" s="66">
        <v>2000</v>
      </c>
      <c r="H193" s="67"/>
      <c r="I193" s="67" t="s">
        <v>1038</v>
      </c>
      <c r="J193" s="68" t="s">
        <v>1039</v>
      </c>
      <c r="K193" s="68" t="s">
        <v>1040</v>
      </c>
      <c r="L193" s="59"/>
      <c r="M193" s="60"/>
      <c r="N193" s="60"/>
      <c r="O193" s="60"/>
      <c r="P193" s="60"/>
      <c r="Q193" s="61"/>
      <c r="R193" s="32" t="s">
        <v>87</v>
      </c>
      <c r="S193" s="33" t="s">
        <v>87</v>
      </c>
      <c r="T193" s="33" t="s">
        <v>87</v>
      </c>
      <c r="U193" s="33" t="s">
        <v>87</v>
      </c>
      <c r="V193" s="34" t="s">
        <v>87</v>
      </c>
      <c r="W193" s="35" t="s">
        <v>87</v>
      </c>
      <c r="X193" s="36" t="s">
        <v>87</v>
      </c>
      <c r="Y193" s="36" t="s">
        <v>87</v>
      </c>
      <c r="Z193" s="36"/>
      <c r="AA193" s="37" t="s">
        <v>87</v>
      </c>
      <c r="AB193" s="38" t="s">
        <v>87</v>
      </c>
      <c r="AC193" s="39" t="s">
        <v>87</v>
      </c>
      <c r="AD193" s="40" t="s">
        <v>87</v>
      </c>
      <c r="AE193" s="41"/>
      <c r="AF193" s="42"/>
      <c r="AG193" s="42"/>
      <c r="AH193" s="42"/>
      <c r="AI193" s="43"/>
      <c r="AJ193" s="44"/>
      <c r="AK193" s="45"/>
      <c r="AL193" s="45"/>
      <c r="AM193" s="45"/>
      <c r="AN193" s="46"/>
      <c r="AO193" s="47"/>
      <c r="AP193" s="48"/>
      <c r="AQ193" s="48"/>
      <c r="AR193" s="48"/>
      <c r="AS193" s="48"/>
      <c r="AT193" s="49"/>
      <c r="AU193" s="50"/>
      <c r="AV193" s="51"/>
      <c r="AW193" s="51"/>
      <c r="AX193" s="52"/>
      <c r="AY193" s="53"/>
      <c r="AZ193" s="80"/>
      <c r="BA193" s="54"/>
      <c r="BB193" s="55"/>
      <c r="BC193" s="55"/>
      <c r="BD193" s="55"/>
      <c r="BE193" s="55"/>
      <c r="BF193" s="55"/>
      <c r="BG193" s="56"/>
      <c r="BH193" s="57"/>
      <c r="BI193" s="58"/>
      <c r="BJ193" s="58"/>
      <c r="BK193" s="58"/>
      <c r="BL193" s="58"/>
      <c r="BM193" s="58"/>
      <c r="BN193" s="58"/>
      <c r="BO193" s="58"/>
    </row>
    <row r="194" spans="1:67" ht="28.5" customHeight="1" x14ac:dyDescent="0.35">
      <c r="A194" s="66" t="s">
        <v>1041</v>
      </c>
      <c r="B194" s="66">
        <v>40079616050</v>
      </c>
      <c r="C194" s="66" t="s">
        <v>80</v>
      </c>
      <c r="D194" s="66" t="s">
        <v>1042</v>
      </c>
      <c r="E194" s="66" t="s">
        <v>152</v>
      </c>
      <c r="F194" s="66" t="s">
        <v>83</v>
      </c>
      <c r="G194" s="66" t="str">
        <f>"2000"</f>
        <v>2000</v>
      </c>
      <c r="H194" s="66" t="str">
        <f>"02 8987 2100"</f>
        <v>02 8987 2100</v>
      </c>
      <c r="I194" s="66" t="str">
        <f>"0419297460"</f>
        <v>0419297460</v>
      </c>
      <c r="J194" s="68" t="s">
        <v>1043</v>
      </c>
      <c r="K194" s="68" t="s">
        <v>1044</v>
      </c>
      <c r="L194" s="59"/>
      <c r="M194" s="60"/>
      <c r="N194" s="60"/>
      <c r="O194" s="60"/>
      <c r="P194" s="60"/>
      <c r="Q194" s="61"/>
      <c r="R194" s="32"/>
      <c r="S194" s="33" t="s">
        <v>87</v>
      </c>
      <c r="T194" s="33"/>
      <c r="U194" s="33" t="s">
        <v>87</v>
      </c>
      <c r="V194" s="34"/>
      <c r="W194" s="35"/>
      <c r="X194" s="36"/>
      <c r="Y194" s="36"/>
      <c r="Z194" s="36"/>
      <c r="AA194" s="37"/>
      <c r="AB194" s="38" t="s">
        <v>87</v>
      </c>
      <c r="AC194" s="39" t="s">
        <v>87</v>
      </c>
      <c r="AD194" s="40"/>
      <c r="AE194" s="41" t="s">
        <v>87</v>
      </c>
      <c r="AF194" s="42" t="s">
        <v>87</v>
      </c>
      <c r="AG194" s="42" t="s">
        <v>87</v>
      </c>
      <c r="AH194" s="42" t="s">
        <v>87</v>
      </c>
      <c r="AI194" s="43"/>
      <c r="AJ194" s="44"/>
      <c r="AK194" s="45"/>
      <c r="AL194" s="45"/>
      <c r="AM194" s="45"/>
      <c r="AN194" s="46"/>
      <c r="AO194" s="47"/>
      <c r="AP194" s="48"/>
      <c r="AQ194" s="48"/>
      <c r="AR194" s="48"/>
      <c r="AS194" s="48"/>
      <c r="AT194" s="49"/>
      <c r="AU194" s="50"/>
      <c r="AV194" s="51"/>
      <c r="AW194" s="51"/>
      <c r="AX194" s="52"/>
      <c r="AY194" s="53"/>
      <c r="AZ194" s="80"/>
      <c r="BA194" s="54"/>
      <c r="BB194" s="55"/>
      <c r="BC194" s="55"/>
      <c r="BD194" s="55"/>
      <c r="BE194" s="55"/>
      <c r="BF194" s="55"/>
      <c r="BG194" s="56"/>
      <c r="BH194" s="57"/>
      <c r="BI194" s="58"/>
      <c r="BJ194" s="58"/>
      <c r="BK194" s="58"/>
      <c r="BL194" s="58"/>
      <c r="BM194" s="58"/>
      <c r="BN194" s="58"/>
      <c r="BO194" s="58"/>
    </row>
    <row r="195" spans="1:67" ht="28.5" customHeight="1" x14ac:dyDescent="0.35">
      <c r="A195" s="66" t="s">
        <v>1045</v>
      </c>
      <c r="B195" s="66">
        <v>36617864347</v>
      </c>
      <c r="C195" s="66" t="s">
        <v>80</v>
      </c>
      <c r="D195" s="66" t="s">
        <v>1046</v>
      </c>
      <c r="E195" s="66" t="s">
        <v>1047</v>
      </c>
      <c r="F195" s="66" t="s">
        <v>83</v>
      </c>
      <c r="G195" s="66">
        <v>2010</v>
      </c>
      <c r="H195" s="66" t="s">
        <v>1048</v>
      </c>
      <c r="I195" s="67" t="s">
        <v>1049</v>
      </c>
      <c r="J195" s="68" t="s">
        <v>1050</v>
      </c>
      <c r="K195" s="68" t="s">
        <v>1051</v>
      </c>
      <c r="L195" s="59"/>
      <c r="M195" s="60"/>
      <c r="N195" s="60"/>
      <c r="O195" s="60"/>
      <c r="P195" s="60"/>
      <c r="Q195" s="61"/>
      <c r="R195" s="32" t="s">
        <v>87</v>
      </c>
      <c r="S195" s="33" t="s">
        <v>87</v>
      </c>
      <c r="T195" s="33" t="s">
        <v>87</v>
      </c>
      <c r="U195" s="33" t="s">
        <v>87</v>
      </c>
      <c r="V195" s="34" t="s">
        <v>87</v>
      </c>
      <c r="W195" s="35"/>
      <c r="X195" s="36"/>
      <c r="Y195" s="36"/>
      <c r="Z195" s="36"/>
      <c r="AA195" s="37"/>
      <c r="AB195" s="38" t="s">
        <v>87</v>
      </c>
      <c r="AC195" s="39" t="s">
        <v>87</v>
      </c>
      <c r="AD195" s="40" t="s">
        <v>87</v>
      </c>
      <c r="AE195" s="41"/>
      <c r="AF195" s="42"/>
      <c r="AG195" s="42"/>
      <c r="AH195" s="42"/>
      <c r="AI195" s="43"/>
      <c r="AJ195" s="44"/>
      <c r="AK195" s="45"/>
      <c r="AL195" s="45"/>
      <c r="AM195" s="45"/>
      <c r="AN195" s="46"/>
      <c r="AO195" s="47"/>
      <c r="AP195" s="48" t="s">
        <v>87</v>
      </c>
      <c r="AQ195" s="48"/>
      <c r="AR195" s="48" t="s">
        <v>87</v>
      </c>
      <c r="AS195" s="48"/>
      <c r="AT195" s="49" t="s">
        <v>87</v>
      </c>
      <c r="AU195" s="50"/>
      <c r="AV195" s="51"/>
      <c r="AW195" s="51"/>
      <c r="AX195" s="52"/>
      <c r="AY195" s="53"/>
      <c r="AZ195" s="80"/>
      <c r="BA195" s="54"/>
      <c r="BB195" s="55"/>
      <c r="BC195" s="55"/>
      <c r="BD195" s="55"/>
      <c r="BE195" s="55"/>
      <c r="BF195" s="55"/>
      <c r="BG195" s="56"/>
      <c r="BH195" s="57"/>
      <c r="BI195" s="58"/>
      <c r="BJ195" s="58"/>
      <c r="BK195" s="58"/>
      <c r="BL195" s="58"/>
      <c r="BM195" s="58"/>
      <c r="BN195" s="58"/>
      <c r="BO195" s="58"/>
    </row>
    <row r="196" spans="1:67" ht="28.5" customHeight="1" x14ac:dyDescent="0.35">
      <c r="A196" s="66" t="s">
        <v>1052</v>
      </c>
      <c r="B196" s="66">
        <v>88069309495</v>
      </c>
      <c r="C196" s="66" t="s">
        <v>80</v>
      </c>
      <c r="D196" s="66" t="s">
        <v>1053</v>
      </c>
      <c r="E196" s="66" t="s">
        <v>1054</v>
      </c>
      <c r="F196" s="66" t="s">
        <v>83</v>
      </c>
      <c r="G196" s="66" t="str">
        <f>"2000"</f>
        <v>2000</v>
      </c>
      <c r="H196" s="66" t="str">
        <f>"02 9251 3833"</f>
        <v>02 9251 3833</v>
      </c>
      <c r="I196" s="66" t="str">
        <f>"0418447094"</f>
        <v>0418447094</v>
      </c>
      <c r="J196" s="68" t="s">
        <v>1055</v>
      </c>
      <c r="K196" s="68" t="s">
        <v>1056</v>
      </c>
      <c r="L196" s="59"/>
      <c r="M196" s="60"/>
      <c r="N196" s="60"/>
      <c r="O196" s="60"/>
      <c r="P196" s="60"/>
      <c r="Q196" s="61"/>
      <c r="R196" s="32" t="s">
        <v>87</v>
      </c>
      <c r="S196" s="33" t="s">
        <v>87</v>
      </c>
      <c r="T196" s="33" t="s">
        <v>87</v>
      </c>
      <c r="U196" s="33"/>
      <c r="V196" s="34" t="s">
        <v>87</v>
      </c>
      <c r="W196" s="35"/>
      <c r="X196" s="36"/>
      <c r="Y196" s="36"/>
      <c r="Z196" s="36"/>
      <c r="AA196" s="37"/>
      <c r="AB196" s="38"/>
      <c r="AC196" s="39"/>
      <c r="AD196" s="40"/>
      <c r="AE196" s="41"/>
      <c r="AF196" s="42"/>
      <c r="AG196" s="42"/>
      <c r="AH196" s="42"/>
      <c r="AI196" s="43"/>
      <c r="AJ196" s="44"/>
      <c r="AK196" s="45"/>
      <c r="AL196" s="45"/>
      <c r="AM196" s="45"/>
      <c r="AN196" s="46"/>
      <c r="AO196" s="47"/>
      <c r="AP196" s="48"/>
      <c r="AQ196" s="48"/>
      <c r="AR196" s="48"/>
      <c r="AS196" s="48"/>
      <c r="AT196" s="49"/>
      <c r="AU196" s="50" t="s">
        <v>87</v>
      </c>
      <c r="AV196" s="51" t="s">
        <v>87</v>
      </c>
      <c r="AW196" s="51" t="s">
        <v>87</v>
      </c>
      <c r="AX196" s="52" t="s">
        <v>87</v>
      </c>
      <c r="AY196" s="53" t="s">
        <v>87</v>
      </c>
      <c r="AZ196" s="80" t="s">
        <v>87</v>
      </c>
      <c r="BA196" s="54"/>
      <c r="BB196" s="55"/>
      <c r="BC196" s="55"/>
      <c r="BD196" s="55"/>
      <c r="BE196" s="55"/>
      <c r="BF196" s="55"/>
      <c r="BG196" s="56"/>
      <c r="BH196" s="57"/>
      <c r="BI196" s="58"/>
      <c r="BJ196" s="58"/>
      <c r="BK196" s="58"/>
      <c r="BL196" s="58"/>
      <c r="BM196" s="58"/>
      <c r="BN196" s="58"/>
      <c r="BO196" s="58"/>
    </row>
    <row r="197" spans="1:67" ht="28.5" customHeight="1" x14ac:dyDescent="0.35">
      <c r="A197" s="66" t="s">
        <v>1057</v>
      </c>
      <c r="B197" s="66">
        <v>56201903592</v>
      </c>
      <c r="C197" s="66" t="s">
        <v>80</v>
      </c>
      <c r="D197" s="66" t="s">
        <v>1058</v>
      </c>
      <c r="E197" s="66" t="s">
        <v>342</v>
      </c>
      <c r="F197" s="66" t="s">
        <v>83</v>
      </c>
      <c r="G197" s="66">
        <v>2217</v>
      </c>
      <c r="H197" s="66" t="s">
        <v>1059</v>
      </c>
      <c r="I197" s="67" t="s">
        <v>1060</v>
      </c>
      <c r="J197" s="68" t="s">
        <v>1061</v>
      </c>
      <c r="K197" s="68" t="s">
        <v>1062</v>
      </c>
      <c r="L197" s="59"/>
      <c r="M197" s="60"/>
      <c r="N197" s="60"/>
      <c r="O197" s="60"/>
      <c r="P197" s="60"/>
      <c r="Q197" s="61"/>
      <c r="R197" s="32"/>
      <c r="S197" s="33"/>
      <c r="T197" s="33"/>
      <c r="U197" s="33"/>
      <c r="V197" s="34"/>
      <c r="W197" s="35"/>
      <c r="X197" s="36"/>
      <c r="Y197" s="36"/>
      <c r="Z197" s="36"/>
      <c r="AA197" s="37"/>
      <c r="AB197" s="38"/>
      <c r="AC197" s="39"/>
      <c r="AD197" s="40"/>
      <c r="AE197" s="41"/>
      <c r="AF197" s="42"/>
      <c r="AG197" s="42"/>
      <c r="AH197" s="42"/>
      <c r="AI197" s="43"/>
      <c r="AJ197" s="44"/>
      <c r="AK197" s="45"/>
      <c r="AL197" s="45"/>
      <c r="AM197" s="45"/>
      <c r="AN197" s="46"/>
      <c r="AO197" s="47"/>
      <c r="AP197" s="48"/>
      <c r="AQ197" s="48"/>
      <c r="AR197" s="48"/>
      <c r="AS197" s="48"/>
      <c r="AT197" s="49"/>
      <c r="AU197" s="50" t="s">
        <v>87</v>
      </c>
      <c r="AV197" s="51" t="s">
        <v>87</v>
      </c>
      <c r="AW197" s="51" t="s">
        <v>87</v>
      </c>
      <c r="AX197" s="52" t="s">
        <v>87</v>
      </c>
      <c r="AY197" s="53"/>
      <c r="AZ197" s="80"/>
      <c r="BA197" s="54"/>
      <c r="BB197" s="55"/>
      <c r="BC197" s="55"/>
      <c r="BD197" s="55"/>
      <c r="BE197" s="55"/>
      <c r="BF197" s="55"/>
      <c r="BG197" s="56"/>
      <c r="BH197" s="57"/>
      <c r="BI197" s="58"/>
      <c r="BJ197" s="58"/>
      <c r="BK197" s="58"/>
      <c r="BL197" s="58"/>
      <c r="BM197" s="58"/>
      <c r="BN197" s="58"/>
      <c r="BO197" s="58"/>
    </row>
    <row r="198" spans="1:67" ht="28.5" customHeight="1" x14ac:dyDescent="0.35">
      <c r="A198" s="66" t="s">
        <v>1063</v>
      </c>
      <c r="B198" s="66">
        <v>45160146234</v>
      </c>
      <c r="C198" s="66" t="s">
        <v>80</v>
      </c>
      <c r="D198" s="66" t="s">
        <v>1064</v>
      </c>
      <c r="E198" s="66" t="s">
        <v>90</v>
      </c>
      <c r="F198" s="66" t="s">
        <v>83</v>
      </c>
      <c r="G198" s="66">
        <v>2027</v>
      </c>
      <c r="H198" s="66" t="s">
        <v>1065</v>
      </c>
      <c r="I198" s="67" t="s">
        <v>1066</v>
      </c>
      <c r="J198" s="68" t="s">
        <v>1067</v>
      </c>
      <c r="K198" s="68" t="s">
        <v>1068</v>
      </c>
      <c r="L198" s="59"/>
      <c r="M198" s="60"/>
      <c r="N198" s="60"/>
      <c r="O198" s="60"/>
      <c r="P198" s="60"/>
      <c r="Q198" s="61"/>
      <c r="R198" s="32"/>
      <c r="S198" s="33"/>
      <c r="T198" s="33"/>
      <c r="U198" s="33"/>
      <c r="V198" s="34"/>
      <c r="W198" s="35"/>
      <c r="X198" s="36"/>
      <c r="Y198" s="36"/>
      <c r="Z198" s="36"/>
      <c r="AA198" s="37"/>
      <c r="AB198" s="38"/>
      <c r="AC198" s="39"/>
      <c r="AD198" s="40"/>
      <c r="AE198" s="41"/>
      <c r="AF198" s="42"/>
      <c r="AG198" s="42"/>
      <c r="AH198" s="42"/>
      <c r="AI198" s="43"/>
      <c r="AJ198" s="44"/>
      <c r="AK198" s="45"/>
      <c r="AL198" s="45"/>
      <c r="AM198" s="45"/>
      <c r="AN198" s="46"/>
      <c r="AO198" s="47"/>
      <c r="AP198" s="48"/>
      <c r="AQ198" s="48"/>
      <c r="AR198" s="48"/>
      <c r="AS198" s="48"/>
      <c r="AT198" s="49"/>
      <c r="AU198" s="50"/>
      <c r="AV198" s="51"/>
      <c r="AW198" s="51"/>
      <c r="AX198" s="52"/>
      <c r="AY198" s="53" t="s">
        <v>87</v>
      </c>
      <c r="AZ198" s="80" t="s">
        <v>87</v>
      </c>
      <c r="BA198" s="54"/>
      <c r="BB198" s="55"/>
      <c r="BC198" s="55"/>
      <c r="BD198" s="55"/>
      <c r="BE198" s="55"/>
      <c r="BF198" s="55"/>
      <c r="BG198" s="56"/>
      <c r="BH198" s="57"/>
      <c r="BI198" s="58"/>
      <c r="BJ198" s="58"/>
      <c r="BK198" s="58"/>
      <c r="BL198" s="58"/>
      <c r="BM198" s="58"/>
      <c r="BN198" s="58"/>
      <c r="BO198" s="58"/>
    </row>
    <row r="199" spans="1:67" ht="28.5" customHeight="1" x14ac:dyDescent="0.35">
      <c r="A199" s="66" t="s">
        <v>1069</v>
      </c>
      <c r="B199" s="66">
        <v>70600334361</v>
      </c>
      <c r="C199" s="66" t="s">
        <v>80</v>
      </c>
      <c r="D199" s="66" t="s">
        <v>1070</v>
      </c>
      <c r="E199" s="66" t="s">
        <v>132</v>
      </c>
      <c r="F199" s="66" t="s">
        <v>83</v>
      </c>
      <c r="G199" s="66" t="str">
        <f>"2107"</f>
        <v>2107</v>
      </c>
      <c r="H199" s="66"/>
      <c r="I199" s="66" t="str">
        <f>"0431718018"</f>
        <v>0431718018</v>
      </c>
      <c r="J199" s="68" t="s">
        <v>1071</v>
      </c>
      <c r="K199" s="68" t="s">
        <v>1072</v>
      </c>
      <c r="L199" s="59"/>
      <c r="M199" s="60"/>
      <c r="N199" s="60"/>
      <c r="O199" s="60"/>
      <c r="P199" s="60"/>
      <c r="Q199" s="61"/>
      <c r="R199" s="32"/>
      <c r="S199" s="33"/>
      <c r="T199" s="33"/>
      <c r="U199" s="33" t="s">
        <v>87</v>
      </c>
      <c r="V199" s="34"/>
      <c r="W199" s="35"/>
      <c r="X199" s="36"/>
      <c r="Y199" s="36"/>
      <c r="Z199" s="36"/>
      <c r="AA199" s="37"/>
      <c r="AB199" s="38"/>
      <c r="AC199" s="39" t="s">
        <v>87</v>
      </c>
      <c r="AD199" s="40"/>
      <c r="AE199" s="41" t="s">
        <v>87</v>
      </c>
      <c r="AF199" s="42"/>
      <c r="AG199" s="42"/>
      <c r="AH199" s="42"/>
      <c r="AI199" s="43"/>
      <c r="AJ199" s="44"/>
      <c r="AK199" s="45"/>
      <c r="AL199" s="45"/>
      <c r="AM199" s="45"/>
      <c r="AN199" s="46"/>
      <c r="AO199" s="47"/>
      <c r="AP199" s="48"/>
      <c r="AQ199" s="48"/>
      <c r="AR199" s="48"/>
      <c r="AS199" s="48"/>
      <c r="AT199" s="49"/>
      <c r="AU199" s="50"/>
      <c r="AV199" s="51"/>
      <c r="AW199" s="51"/>
      <c r="AX199" s="52"/>
      <c r="AY199" s="53"/>
      <c r="AZ199" s="80"/>
      <c r="BA199" s="54"/>
      <c r="BB199" s="55"/>
      <c r="BC199" s="55"/>
      <c r="BD199" s="55"/>
      <c r="BE199" s="55"/>
      <c r="BF199" s="55"/>
      <c r="BG199" s="56"/>
      <c r="BH199" s="57"/>
      <c r="BI199" s="58"/>
      <c r="BJ199" s="58"/>
      <c r="BK199" s="58"/>
      <c r="BL199" s="58"/>
      <c r="BM199" s="58"/>
      <c r="BN199" s="58"/>
      <c r="BO199" s="58"/>
    </row>
    <row r="200" spans="1:67" ht="28.5" customHeight="1" x14ac:dyDescent="0.35">
      <c r="A200" s="66" t="s">
        <v>1073</v>
      </c>
      <c r="B200" s="66">
        <v>22166978669</v>
      </c>
      <c r="C200" s="66" t="s">
        <v>80</v>
      </c>
      <c r="D200" s="66" t="s">
        <v>1074</v>
      </c>
      <c r="E200" s="66" t="s">
        <v>90</v>
      </c>
      <c r="F200" s="66" t="s">
        <v>379</v>
      </c>
      <c r="G200" s="66" t="str">
        <f>"3205"</f>
        <v>3205</v>
      </c>
      <c r="H200" s="66" t="str">
        <f>"1300 886 572"</f>
        <v>1300 886 572</v>
      </c>
      <c r="I200" s="66" t="str">
        <f>"0402658849"</f>
        <v>0402658849</v>
      </c>
      <c r="J200" s="68" t="s">
        <v>1075</v>
      </c>
      <c r="K200" s="68" t="s">
        <v>1076</v>
      </c>
      <c r="L200" s="59"/>
      <c r="M200" s="60"/>
      <c r="N200" s="60"/>
      <c r="O200" s="60"/>
      <c r="P200" s="60"/>
      <c r="Q200" s="61"/>
      <c r="R200" s="32"/>
      <c r="S200" s="33"/>
      <c r="T200" s="33"/>
      <c r="U200" s="33"/>
      <c r="V200" s="34"/>
      <c r="W200" s="36"/>
      <c r="X200" s="36"/>
      <c r="Y200" s="36"/>
      <c r="Z200" s="36"/>
      <c r="AA200" s="37"/>
      <c r="AB200" s="38"/>
      <c r="AC200" s="39"/>
      <c r="AD200" s="40"/>
      <c r="AE200" s="41"/>
      <c r="AF200" s="42"/>
      <c r="AG200" s="42"/>
      <c r="AH200" s="42"/>
      <c r="AI200" s="43"/>
      <c r="AJ200" s="44"/>
      <c r="AK200" s="45"/>
      <c r="AL200" s="45"/>
      <c r="AM200" s="45"/>
      <c r="AN200" s="46"/>
      <c r="AO200" s="47"/>
      <c r="AP200" s="48"/>
      <c r="AQ200" s="48"/>
      <c r="AR200" s="48"/>
      <c r="AS200" s="48"/>
      <c r="AT200" s="49"/>
      <c r="AU200" s="50"/>
      <c r="AV200" s="51"/>
      <c r="AW200" s="51"/>
      <c r="AX200" s="52"/>
      <c r="AY200" s="53"/>
      <c r="AZ200" s="80"/>
      <c r="BA200" s="54"/>
      <c r="BB200" s="55"/>
      <c r="BC200" s="55"/>
      <c r="BD200" s="55"/>
      <c r="BE200" s="55"/>
      <c r="BF200" s="55"/>
      <c r="BG200" s="56"/>
      <c r="BH200" s="57" t="s">
        <v>87</v>
      </c>
      <c r="BI200" s="58"/>
      <c r="BJ200" s="58"/>
      <c r="BK200" s="58"/>
      <c r="BL200" s="58"/>
      <c r="BM200" s="58"/>
      <c r="BN200" s="58"/>
      <c r="BO200" s="58"/>
    </row>
    <row r="201" spans="1:67" ht="28.5" customHeight="1" x14ac:dyDescent="0.35">
      <c r="A201" s="66" t="s">
        <v>1077</v>
      </c>
      <c r="B201" s="66">
        <v>80617855688</v>
      </c>
      <c r="C201" s="66" t="s">
        <v>80</v>
      </c>
      <c r="D201" s="66" t="s">
        <v>1078</v>
      </c>
      <c r="E201" s="66" t="s">
        <v>1079</v>
      </c>
      <c r="F201" s="66" t="s">
        <v>83</v>
      </c>
      <c r="G201" s="66">
        <v>2096</v>
      </c>
      <c r="H201" s="66"/>
      <c r="I201" s="66" t="s">
        <v>1080</v>
      </c>
      <c r="J201" s="68" t="s">
        <v>1081</v>
      </c>
      <c r="K201" s="68" t="s">
        <v>1082</v>
      </c>
      <c r="L201" s="59"/>
      <c r="M201" s="60"/>
      <c r="N201" s="60" t="s">
        <v>87</v>
      </c>
      <c r="O201" s="60" t="s">
        <v>87</v>
      </c>
      <c r="P201" s="60"/>
      <c r="Q201" s="61"/>
      <c r="R201" s="32"/>
      <c r="S201" s="33"/>
      <c r="T201" s="33"/>
      <c r="U201" s="33"/>
      <c r="V201" s="34"/>
      <c r="W201" s="36"/>
      <c r="X201" s="36"/>
      <c r="Y201" s="36"/>
      <c r="Z201" s="36"/>
      <c r="AA201" s="37"/>
      <c r="AB201" s="38"/>
      <c r="AC201" s="39"/>
      <c r="AD201" s="40"/>
      <c r="AE201" s="41"/>
      <c r="AF201" s="42"/>
      <c r="AG201" s="42"/>
      <c r="AH201" s="42"/>
      <c r="AI201" s="43"/>
      <c r="AJ201" s="44"/>
      <c r="AK201" s="45"/>
      <c r="AL201" s="45"/>
      <c r="AM201" s="45"/>
      <c r="AN201" s="46"/>
      <c r="AO201" s="47"/>
      <c r="AP201" s="48"/>
      <c r="AQ201" s="48"/>
      <c r="AR201" s="48"/>
      <c r="AS201" s="48"/>
      <c r="AT201" s="49"/>
      <c r="AU201" s="50"/>
      <c r="AV201" s="51"/>
      <c r="AW201" s="51"/>
      <c r="AX201" s="52"/>
      <c r="AY201" s="53"/>
      <c r="AZ201" s="80"/>
      <c r="BA201" s="54"/>
      <c r="BB201" s="55"/>
      <c r="BC201" s="55"/>
      <c r="BD201" s="55"/>
      <c r="BE201" s="55"/>
      <c r="BF201" s="55"/>
      <c r="BG201" s="56"/>
      <c r="BH201" s="57"/>
      <c r="BI201" s="58"/>
      <c r="BJ201" s="58"/>
      <c r="BK201" s="58"/>
      <c r="BL201" s="58"/>
      <c r="BM201" s="58"/>
      <c r="BN201" s="58"/>
      <c r="BO201" s="58"/>
    </row>
    <row r="202" spans="1:67" ht="28.5" customHeight="1" x14ac:dyDescent="0.35">
      <c r="A202" s="66" t="s">
        <v>1424</v>
      </c>
      <c r="B202" s="66">
        <v>18797840354</v>
      </c>
      <c r="C202" s="66" t="s">
        <v>80</v>
      </c>
      <c r="D202" s="66" t="s">
        <v>1424</v>
      </c>
      <c r="E202" s="66" t="s">
        <v>360</v>
      </c>
      <c r="F202" s="66" t="s">
        <v>83</v>
      </c>
      <c r="G202" s="66">
        <v>2151</v>
      </c>
      <c r="H202" s="66"/>
      <c r="I202" s="67" t="s">
        <v>1425</v>
      </c>
      <c r="J202" s="68" t="s">
        <v>1426</v>
      </c>
      <c r="K202" s="68" t="s">
        <v>1427</v>
      </c>
      <c r="L202" s="59"/>
      <c r="M202" s="60"/>
      <c r="N202" s="60"/>
      <c r="O202" s="60"/>
      <c r="P202" s="60"/>
      <c r="Q202" s="61"/>
      <c r="R202" s="32"/>
      <c r="S202" s="33"/>
      <c r="T202" s="33"/>
      <c r="U202" s="33"/>
      <c r="V202" s="34"/>
      <c r="W202" s="36"/>
      <c r="X202" s="36" t="s">
        <v>87</v>
      </c>
      <c r="Y202" s="36"/>
      <c r="Z202" s="36"/>
      <c r="AA202" s="37"/>
      <c r="AB202" s="38"/>
      <c r="AC202" s="39"/>
      <c r="AD202" s="40"/>
      <c r="AE202" s="41"/>
      <c r="AF202" s="42"/>
      <c r="AG202" s="42"/>
      <c r="AH202" s="42"/>
      <c r="AI202" s="43"/>
      <c r="AJ202" s="44"/>
      <c r="AK202" s="45"/>
      <c r="AL202" s="45"/>
      <c r="AM202" s="45"/>
      <c r="AN202" s="46"/>
      <c r="AO202" s="47"/>
      <c r="AP202" s="48"/>
      <c r="AQ202" s="48"/>
      <c r="AR202" s="48"/>
      <c r="AS202" s="48"/>
      <c r="AT202" s="49"/>
      <c r="AU202" s="50"/>
      <c r="AV202" s="51"/>
      <c r="AW202" s="51"/>
      <c r="AX202" s="52"/>
      <c r="AY202" s="53"/>
      <c r="AZ202" s="80"/>
      <c r="BA202" s="54"/>
      <c r="BB202" s="55"/>
      <c r="BC202" s="55"/>
      <c r="BD202" s="55"/>
      <c r="BE202" s="55"/>
      <c r="BF202" s="55"/>
      <c r="BG202" s="56"/>
      <c r="BH202" s="57"/>
      <c r="BI202" s="58"/>
      <c r="BJ202" s="58"/>
      <c r="BK202" s="58"/>
      <c r="BL202" s="58"/>
      <c r="BM202" s="58"/>
      <c r="BN202" s="58"/>
      <c r="BO202" s="58"/>
    </row>
    <row r="203" spans="1:67" ht="28.5" customHeight="1" x14ac:dyDescent="0.35">
      <c r="A203" s="66" t="s">
        <v>1083</v>
      </c>
      <c r="B203" s="66">
        <v>91161939046</v>
      </c>
      <c r="C203" s="66" t="s">
        <v>80</v>
      </c>
      <c r="D203" s="66" t="s">
        <v>1084</v>
      </c>
      <c r="E203" s="66" t="s">
        <v>90</v>
      </c>
      <c r="F203" s="66" t="s">
        <v>83</v>
      </c>
      <c r="G203" s="66" t="str">
        <f>"2010"</f>
        <v>2010</v>
      </c>
      <c r="H203" s="66" t="str">
        <f>"02 8007 7675"</f>
        <v>02 8007 7675</v>
      </c>
      <c r="I203" s="66" t="str">
        <f>"0401614913"</f>
        <v>0401614913</v>
      </c>
      <c r="J203" s="68" t="s">
        <v>1085</v>
      </c>
      <c r="K203" s="68" t="s">
        <v>1086</v>
      </c>
      <c r="L203" s="59"/>
      <c r="M203" s="60"/>
      <c r="N203" s="60"/>
      <c r="O203" s="60"/>
      <c r="P203" s="60"/>
      <c r="Q203" s="61"/>
      <c r="R203" s="32"/>
      <c r="S203" s="33"/>
      <c r="T203" s="33"/>
      <c r="U203" s="33"/>
      <c r="V203" s="34"/>
      <c r="W203" s="36"/>
      <c r="X203" s="36"/>
      <c r="Y203" s="36"/>
      <c r="Z203" s="36"/>
      <c r="AA203" s="37"/>
      <c r="AB203" s="38"/>
      <c r="AC203" s="39"/>
      <c r="AD203" s="40"/>
      <c r="AE203" s="41"/>
      <c r="AF203" s="42"/>
      <c r="AG203" s="42" t="s">
        <v>87</v>
      </c>
      <c r="AH203" s="42"/>
      <c r="AI203" s="43"/>
      <c r="AJ203" s="44"/>
      <c r="AK203" s="45"/>
      <c r="AL203" s="45"/>
      <c r="AM203" s="45"/>
      <c r="AN203" s="46"/>
      <c r="AO203" s="47"/>
      <c r="AP203" s="48"/>
      <c r="AQ203" s="48"/>
      <c r="AR203" s="48"/>
      <c r="AS203" s="48"/>
      <c r="AT203" s="49"/>
      <c r="AU203" s="50"/>
      <c r="AV203" s="51"/>
      <c r="AW203" s="51"/>
      <c r="AX203" s="52"/>
      <c r="AY203" s="53"/>
      <c r="AZ203" s="80"/>
      <c r="BA203" s="54"/>
      <c r="BB203" s="55"/>
      <c r="BC203" s="55"/>
      <c r="BD203" s="55"/>
      <c r="BE203" s="55"/>
      <c r="BF203" s="55"/>
      <c r="BG203" s="56"/>
      <c r="BH203" s="57" t="s">
        <v>87</v>
      </c>
      <c r="BI203" s="58" t="s">
        <v>87</v>
      </c>
      <c r="BJ203" s="58" t="s">
        <v>87</v>
      </c>
      <c r="BK203" s="58" t="s">
        <v>87</v>
      </c>
      <c r="BL203" s="58" t="s">
        <v>87</v>
      </c>
      <c r="BM203" s="58" t="s">
        <v>87</v>
      </c>
      <c r="BN203" s="58" t="s">
        <v>87</v>
      </c>
      <c r="BO203" s="58" t="s">
        <v>87</v>
      </c>
    </row>
    <row r="204" spans="1:67" ht="28.5" customHeight="1" x14ac:dyDescent="0.35">
      <c r="A204" s="66" t="s">
        <v>1087</v>
      </c>
      <c r="B204" s="66">
        <v>60128217354</v>
      </c>
      <c r="C204" s="66" t="s">
        <v>80</v>
      </c>
      <c r="D204" s="66" t="s">
        <v>1088</v>
      </c>
      <c r="E204" s="66" t="s">
        <v>152</v>
      </c>
      <c r="F204" s="66" t="s">
        <v>115</v>
      </c>
      <c r="G204" s="66">
        <v>4220</v>
      </c>
      <c r="H204" s="67" t="s">
        <v>1089</v>
      </c>
      <c r="I204" s="67"/>
      <c r="J204" s="68" t="s">
        <v>1090</v>
      </c>
      <c r="K204" s="68" t="s">
        <v>1091</v>
      </c>
      <c r="L204" s="59"/>
      <c r="M204" s="60"/>
      <c r="N204" s="60"/>
      <c r="O204" s="60"/>
      <c r="P204" s="60"/>
      <c r="Q204" s="61"/>
      <c r="R204" s="32"/>
      <c r="S204" s="33"/>
      <c r="T204" s="33"/>
      <c r="U204" s="33"/>
      <c r="V204" s="34"/>
      <c r="W204" s="36" t="s">
        <v>87</v>
      </c>
      <c r="X204" s="36" t="s">
        <v>87</v>
      </c>
      <c r="Y204" s="36" t="s">
        <v>87</v>
      </c>
      <c r="Z204" s="36"/>
      <c r="AA204" s="37"/>
      <c r="AB204" s="38"/>
      <c r="AC204" s="39"/>
      <c r="AD204" s="40"/>
      <c r="AE204" s="41"/>
      <c r="AF204" s="42"/>
      <c r="AG204" s="42"/>
      <c r="AH204" s="42"/>
      <c r="AI204" s="43"/>
      <c r="AJ204" s="44"/>
      <c r="AK204" s="45"/>
      <c r="AL204" s="45"/>
      <c r="AM204" s="45"/>
      <c r="AN204" s="46"/>
      <c r="AO204" s="47"/>
      <c r="AP204" s="48"/>
      <c r="AQ204" s="48"/>
      <c r="AR204" s="48"/>
      <c r="AS204" s="48"/>
      <c r="AT204" s="49"/>
      <c r="AU204" s="50" t="s">
        <v>87</v>
      </c>
      <c r="AV204" s="51" t="s">
        <v>87</v>
      </c>
      <c r="AW204" s="51" t="s">
        <v>87</v>
      </c>
      <c r="AX204" s="52" t="s">
        <v>87</v>
      </c>
      <c r="AY204" s="53"/>
      <c r="AZ204" s="80"/>
      <c r="BA204" s="54"/>
      <c r="BB204" s="55"/>
      <c r="BC204" s="55"/>
      <c r="BD204" s="55"/>
      <c r="BE204" s="55"/>
      <c r="BF204" s="55"/>
      <c r="BG204" s="56"/>
      <c r="BH204" s="57" t="s">
        <v>87</v>
      </c>
      <c r="BI204" s="58" t="s">
        <v>87</v>
      </c>
      <c r="BJ204" s="58" t="s">
        <v>87</v>
      </c>
      <c r="BK204" s="58" t="s">
        <v>87</v>
      </c>
      <c r="BL204" s="58" t="s">
        <v>87</v>
      </c>
      <c r="BM204" s="58" t="s">
        <v>87</v>
      </c>
      <c r="BN204" s="58" t="s">
        <v>87</v>
      </c>
      <c r="BO204" s="58" t="s">
        <v>87</v>
      </c>
    </row>
    <row r="205" spans="1:67" ht="28.5" customHeight="1" x14ac:dyDescent="0.35">
      <c r="A205" s="69" t="s">
        <v>1092</v>
      </c>
      <c r="B205" s="69">
        <v>81130923269</v>
      </c>
      <c r="C205" s="69" t="s">
        <v>80</v>
      </c>
      <c r="D205" s="69" t="s">
        <v>1093</v>
      </c>
      <c r="E205" s="69" t="s">
        <v>152</v>
      </c>
      <c r="F205" s="69" t="s">
        <v>83</v>
      </c>
      <c r="G205" s="69">
        <v>2008</v>
      </c>
      <c r="H205" s="69"/>
      <c r="I205" s="71" t="s">
        <v>1094</v>
      </c>
      <c r="J205" s="70" t="s">
        <v>1095</v>
      </c>
      <c r="K205" s="70" t="s">
        <v>1096</v>
      </c>
      <c r="L205" s="59"/>
      <c r="M205" s="60"/>
      <c r="N205" s="60"/>
      <c r="O205" s="60"/>
      <c r="P205" s="60"/>
      <c r="Q205" s="61"/>
      <c r="R205" s="32"/>
      <c r="S205" s="33"/>
      <c r="T205" s="33"/>
      <c r="U205" s="33"/>
      <c r="V205" s="34"/>
      <c r="W205" s="36" t="s">
        <v>87</v>
      </c>
      <c r="X205" s="36" t="s">
        <v>87</v>
      </c>
      <c r="Y205" s="36"/>
      <c r="Z205" s="36"/>
      <c r="AA205" s="37"/>
      <c r="AB205" s="38"/>
      <c r="AC205" s="39"/>
      <c r="AD205" s="40"/>
      <c r="AE205" s="41"/>
      <c r="AF205" s="42"/>
      <c r="AG205" s="42"/>
      <c r="AH205" s="42"/>
      <c r="AI205" s="43"/>
      <c r="AJ205" s="44"/>
      <c r="AK205" s="45"/>
      <c r="AL205" s="45"/>
      <c r="AM205" s="45"/>
      <c r="AN205" s="46"/>
      <c r="AO205" s="47"/>
      <c r="AP205" s="48"/>
      <c r="AQ205" s="48"/>
      <c r="AR205" s="48"/>
      <c r="AS205" s="48"/>
      <c r="AT205" s="49"/>
      <c r="AU205" s="50"/>
      <c r="AV205" s="51"/>
      <c r="AW205" s="51"/>
      <c r="AX205" s="52"/>
      <c r="AY205" s="53"/>
      <c r="AZ205" s="80"/>
      <c r="BA205" s="54"/>
      <c r="BB205" s="55"/>
      <c r="BC205" s="55"/>
      <c r="BD205" s="55"/>
      <c r="BE205" s="55"/>
      <c r="BF205" s="55"/>
      <c r="BG205" s="56"/>
      <c r="BH205" s="57"/>
      <c r="BI205" s="58"/>
      <c r="BJ205" s="58"/>
      <c r="BK205" s="58"/>
      <c r="BL205" s="58"/>
      <c r="BM205" s="58"/>
      <c r="BN205" s="58"/>
      <c r="BO205" s="58"/>
    </row>
    <row r="206" spans="1:67" ht="28.5" customHeight="1" x14ac:dyDescent="0.35">
      <c r="A206" s="66" t="s">
        <v>1097</v>
      </c>
      <c r="B206" s="66">
        <v>41121766498</v>
      </c>
      <c r="C206" s="66" t="s">
        <v>80</v>
      </c>
      <c r="D206" s="66" t="s">
        <v>1098</v>
      </c>
      <c r="E206" s="66" t="s">
        <v>299</v>
      </c>
      <c r="F206" s="66" t="s">
        <v>83</v>
      </c>
      <c r="G206" s="66" t="str">
        <f>"2095"</f>
        <v>2095</v>
      </c>
      <c r="H206" s="66" t="str">
        <f>"02 9907 9927"</f>
        <v>02 9907 9927</v>
      </c>
      <c r="I206" s="66" t="str">
        <f>"0422224220"</f>
        <v>0422224220</v>
      </c>
      <c r="J206" s="68" t="s">
        <v>1099</v>
      </c>
      <c r="K206" s="68" t="s">
        <v>1100</v>
      </c>
      <c r="L206" s="59"/>
      <c r="M206" s="60"/>
      <c r="N206" s="60"/>
      <c r="O206" s="60"/>
      <c r="P206" s="60"/>
      <c r="Q206" s="61"/>
      <c r="R206" s="32"/>
      <c r="S206" s="33"/>
      <c r="T206" s="33"/>
      <c r="U206" s="33"/>
      <c r="V206" s="34"/>
      <c r="W206" s="36"/>
      <c r="X206" s="36"/>
      <c r="Y206" s="36"/>
      <c r="Z206" s="36"/>
      <c r="AA206" s="37"/>
      <c r="AB206" s="38"/>
      <c r="AC206" s="39"/>
      <c r="AD206" s="40"/>
      <c r="AE206" s="41"/>
      <c r="AF206" s="42"/>
      <c r="AG206" s="42"/>
      <c r="AH206" s="42"/>
      <c r="AI206" s="43"/>
      <c r="AJ206" s="44"/>
      <c r="AK206" s="45"/>
      <c r="AL206" s="45"/>
      <c r="AM206" s="45"/>
      <c r="AN206" s="46"/>
      <c r="AO206" s="47"/>
      <c r="AP206" s="48"/>
      <c r="AQ206" s="48"/>
      <c r="AR206" s="48"/>
      <c r="AS206" s="48"/>
      <c r="AT206" s="49"/>
      <c r="AU206" s="50"/>
      <c r="AV206" s="51"/>
      <c r="AW206" s="51"/>
      <c r="AX206" s="52"/>
      <c r="AY206" s="53"/>
      <c r="AZ206" s="80"/>
      <c r="BA206" s="54"/>
      <c r="BB206" s="55"/>
      <c r="BC206" s="55"/>
      <c r="BD206" s="55"/>
      <c r="BE206" s="55"/>
      <c r="BF206" s="55"/>
      <c r="BG206" s="56"/>
      <c r="BH206" s="57"/>
      <c r="BI206" s="58"/>
      <c r="BJ206" s="58" t="s">
        <v>87</v>
      </c>
      <c r="BK206" s="58" t="s">
        <v>87</v>
      </c>
      <c r="BL206" s="58" t="s">
        <v>87</v>
      </c>
      <c r="BM206" s="58" t="s">
        <v>87</v>
      </c>
      <c r="BN206" s="58" t="s">
        <v>87</v>
      </c>
      <c r="BO206" s="58" t="s">
        <v>87</v>
      </c>
    </row>
    <row r="207" spans="1:67" ht="28.5" customHeight="1" x14ac:dyDescent="0.35">
      <c r="A207" s="66" t="s">
        <v>1101</v>
      </c>
      <c r="B207" s="66">
        <v>35151143476</v>
      </c>
      <c r="C207" s="66" t="s">
        <v>80</v>
      </c>
      <c r="D207" s="66" t="s">
        <v>1102</v>
      </c>
      <c r="E207" s="66" t="s">
        <v>90</v>
      </c>
      <c r="F207" s="66" t="s">
        <v>83</v>
      </c>
      <c r="G207" s="66">
        <v>2060</v>
      </c>
      <c r="H207" s="66" t="s">
        <v>1103</v>
      </c>
      <c r="I207" s="67" t="s">
        <v>1104</v>
      </c>
      <c r="J207" s="68" t="s">
        <v>1105</v>
      </c>
      <c r="K207" s="68" t="s">
        <v>1106</v>
      </c>
      <c r="L207" s="59"/>
      <c r="M207" s="60"/>
      <c r="N207" s="60"/>
      <c r="O207" s="60"/>
      <c r="P207" s="60"/>
      <c r="Q207" s="61"/>
      <c r="R207" s="32"/>
      <c r="S207" s="33"/>
      <c r="T207" s="33"/>
      <c r="U207" s="33"/>
      <c r="V207" s="34"/>
      <c r="W207" s="36"/>
      <c r="X207" s="36"/>
      <c r="Y207" s="36"/>
      <c r="Z207" s="36"/>
      <c r="AA207" s="37"/>
      <c r="AB207" s="38"/>
      <c r="AC207" s="39"/>
      <c r="AD207" s="40"/>
      <c r="AE207" s="41"/>
      <c r="AF207" s="42"/>
      <c r="AG207" s="42"/>
      <c r="AH207" s="42"/>
      <c r="AI207" s="43"/>
      <c r="AJ207" s="44"/>
      <c r="AK207" s="45"/>
      <c r="AL207" s="45"/>
      <c r="AM207" s="45"/>
      <c r="AN207" s="46"/>
      <c r="AO207" s="47"/>
      <c r="AP207" s="48"/>
      <c r="AQ207" s="48"/>
      <c r="AR207" s="48"/>
      <c r="AS207" s="48"/>
      <c r="AT207" s="49"/>
      <c r="AU207" s="50"/>
      <c r="AV207" s="51"/>
      <c r="AW207" s="51"/>
      <c r="AX207" s="52"/>
      <c r="AY207" s="53"/>
      <c r="AZ207" s="80"/>
      <c r="BA207" s="54"/>
      <c r="BB207" s="55"/>
      <c r="BC207" s="55"/>
      <c r="BD207" s="55"/>
      <c r="BE207" s="55"/>
      <c r="BF207" s="55" t="s">
        <v>87</v>
      </c>
      <c r="BG207" s="56"/>
      <c r="BH207" s="57"/>
      <c r="BI207" s="58"/>
      <c r="BJ207" s="58"/>
      <c r="BK207" s="58"/>
      <c r="BL207" s="58"/>
      <c r="BM207" s="58"/>
      <c r="BN207" s="58"/>
      <c r="BO207" s="58"/>
    </row>
    <row r="208" spans="1:67" ht="28.5" customHeight="1" x14ac:dyDescent="0.35">
      <c r="A208" s="66" t="s">
        <v>1107</v>
      </c>
      <c r="B208" s="66">
        <v>56605350650</v>
      </c>
      <c r="C208" s="66" t="s">
        <v>80</v>
      </c>
      <c r="D208" s="66" t="s">
        <v>1108</v>
      </c>
      <c r="E208" s="66" t="s">
        <v>580</v>
      </c>
      <c r="F208" s="66" t="s">
        <v>83</v>
      </c>
      <c r="G208" s="66" t="str">
        <f>"2230"</f>
        <v>2230</v>
      </c>
      <c r="H208" s="66"/>
      <c r="I208" s="66" t="str">
        <f>"0418274291"</f>
        <v>0418274291</v>
      </c>
      <c r="J208" s="68" t="s">
        <v>1109</v>
      </c>
      <c r="K208" s="68" t="s">
        <v>1110</v>
      </c>
      <c r="L208" s="59"/>
      <c r="M208" s="60"/>
      <c r="N208" s="60"/>
      <c r="O208" s="60"/>
      <c r="P208" s="60"/>
      <c r="Q208" s="61"/>
      <c r="R208" s="32"/>
      <c r="S208" s="33"/>
      <c r="T208" s="33"/>
      <c r="U208" s="33"/>
      <c r="V208" s="34"/>
      <c r="W208" s="35"/>
      <c r="X208" s="36"/>
      <c r="Y208" s="36"/>
      <c r="Z208" s="36"/>
      <c r="AA208" s="37"/>
      <c r="AB208" s="38"/>
      <c r="AC208" s="39"/>
      <c r="AD208" s="40"/>
      <c r="AE208" s="41"/>
      <c r="AF208" s="42"/>
      <c r="AG208" s="42"/>
      <c r="AH208" s="42"/>
      <c r="AI208" s="43"/>
      <c r="AJ208" s="44"/>
      <c r="AK208" s="45"/>
      <c r="AL208" s="45"/>
      <c r="AM208" s="45"/>
      <c r="AN208" s="46"/>
      <c r="AO208" s="47"/>
      <c r="AP208" s="48"/>
      <c r="AQ208" s="48"/>
      <c r="AR208" s="48"/>
      <c r="AS208" s="48"/>
      <c r="AT208" s="49"/>
      <c r="AU208" s="50"/>
      <c r="AV208" s="51"/>
      <c r="AW208" s="51"/>
      <c r="AX208" s="52"/>
      <c r="AY208" s="53"/>
      <c r="AZ208" s="80"/>
      <c r="BA208" s="54"/>
      <c r="BB208" s="55"/>
      <c r="BC208" s="55"/>
      <c r="BD208" s="55"/>
      <c r="BE208" s="55"/>
      <c r="BF208" s="55"/>
      <c r="BG208" s="56"/>
      <c r="BH208" s="57"/>
      <c r="BI208" s="58" t="s">
        <v>87</v>
      </c>
      <c r="BJ208" s="58" t="s">
        <v>87</v>
      </c>
      <c r="BK208" s="58" t="s">
        <v>87</v>
      </c>
      <c r="BL208" s="58"/>
      <c r="BM208" s="58"/>
      <c r="BN208" s="58" t="s">
        <v>87</v>
      </c>
      <c r="BO208" s="58" t="s">
        <v>87</v>
      </c>
    </row>
    <row r="209" spans="1:67" ht="28.5" customHeight="1" x14ac:dyDescent="0.35">
      <c r="A209" s="66" t="s">
        <v>1111</v>
      </c>
      <c r="B209" s="66">
        <v>45600161562</v>
      </c>
      <c r="C209" s="66" t="s">
        <v>80</v>
      </c>
      <c r="D209" s="66" t="s">
        <v>1112</v>
      </c>
      <c r="E209" s="66" t="s">
        <v>1113</v>
      </c>
      <c r="F209" s="66" t="s">
        <v>83</v>
      </c>
      <c r="G209" s="66" t="str">
        <f>"2037"</f>
        <v>2037</v>
      </c>
      <c r="H209" s="66"/>
      <c r="I209" s="66" t="str">
        <f>"0476057643"</f>
        <v>0476057643</v>
      </c>
      <c r="J209" s="68" t="s">
        <v>1114</v>
      </c>
      <c r="K209" s="68" t="s">
        <v>1115</v>
      </c>
      <c r="L209" s="59" t="s">
        <v>87</v>
      </c>
      <c r="M209" s="60"/>
      <c r="N209" s="60" t="s">
        <v>87</v>
      </c>
      <c r="O209" s="60" t="s">
        <v>87</v>
      </c>
      <c r="P209" s="60"/>
      <c r="Q209" s="61"/>
      <c r="R209" s="32"/>
      <c r="S209" s="33"/>
      <c r="T209" s="33"/>
      <c r="U209" s="33"/>
      <c r="V209" s="34"/>
      <c r="W209" s="35"/>
      <c r="X209" s="36"/>
      <c r="Y209" s="36"/>
      <c r="Z209" s="36"/>
      <c r="AA209" s="37"/>
      <c r="AB209" s="38"/>
      <c r="AC209" s="39"/>
      <c r="AD209" s="40"/>
      <c r="AE209" s="41"/>
      <c r="AF209" s="42"/>
      <c r="AG209" s="42"/>
      <c r="AH209" s="42"/>
      <c r="AI209" s="43"/>
      <c r="AJ209" s="44"/>
      <c r="AK209" s="45"/>
      <c r="AL209" s="45"/>
      <c r="AM209" s="45"/>
      <c r="AN209" s="46"/>
      <c r="AO209" s="47"/>
      <c r="AP209" s="48"/>
      <c r="AQ209" s="48"/>
      <c r="AR209" s="48"/>
      <c r="AS209" s="48"/>
      <c r="AT209" s="49"/>
      <c r="AU209" s="50"/>
      <c r="AV209" s="51"/>
      <c r="AW209" s="51"/>
      <c r="AX209" s="52"/>
      <c r="AY209" s="53"/>
      <c r="AZ209" s="80"/>
      <c r="BA209" s="54"/>
      <c r="BB209" s="55"/>
      <c r="BC209" s="55"/>
      <c r="BD209" s="55"/>
      <c r="BE209" s="55"/>
      <c r="BF209" s="55"/>
      <c r="BG209" s="56"/>
      <c r="BH209" s="57"/>
      <c r="BI209" s="58"/>
      <c r="BJ209" s="58"/>
      <c r="BK209" s="58"/>
      <c r="BL209" s="58"/>
      <c r="BM209" s="58"/>
      <c r="BN209" s="58"/>
      <c r="BO209" s="58"/>
    </row>
    <row r="210" spans="1:67" ht="28.5" customHeight="1" x14ac:dyDescent="0.35">
      <c r="A210" s="66" t="s">
        <v>1116</v>
      </c>
      <c r="B210" s="66">
        <v>11159886638</v>
      </c>
      <c r="C210" s="66" t="s">
        <v>80</v>
      </c>
      <c r="D210" s="66" t="s">
        <v>1117</v>
      </c>
      <c r="E210" s="66" t="s">
        <v>481</v>
      </c>
      <c r="F210" s="66" t="s">
        <v>83</v>
      </c>
      <c r="G210" s="66" t="str">
        <f>"2010"</f>
        <v>2010</v>
      </c>
      <c r="H210" s="66" t="str">
        <f>"02 8310 2393"</f>
        <v>02 8310 2393</v>
      </c>
      <c r="I210" s="66" t="str">
        <f>"0423672785"</f>
        <v>0423672785</v>
      </c>
      <c r="J210" s="68" t="s">
        <v>1118</v>
      </c>
      <c r="K210" s="68" t="s">
        <v>1119</v>
      </c>
      <c r="L210" s="59"/>
      <c r="M210" s="60"/>
      <c r="N210" s="60"/>
      <c r="O210" s="60"/>
      <c r="P210" s="60"/>
      <c r="Q210" s="61"/>
      <c r="R210" s="32"/>
      <c r="S210" s="33" t="s">
        <v>87</v>
      </c>
      <c r="T210" s="33" t="s">
        <v>87</v>
      </c>
      <c r="U210" s="33" t="s">
        <v>87</v>
      </c>
      <c r="V210" s="34" t="s">
        <v>87</v>
      </c>
      <c r="W210" s="35"/>
      <c r="X210" s="36"/>
      <c r="Y210" s="36"/>
      <c r="Z210" s="36"/>
      <c r="AA210" s="37"/>
      <c r="AB210" s="38"/>
      <c r="AC210" s="39"/>
      <c r="AD210" s="40"/>
      <c r="AE210" s="41" t="s">
        <v>87</v>
      </c>
      <c r="AF210" s="42" t="s">
        <v>87</v>
      </c>
      <c r="AG210" s="42"/>
      <c r="AH210" s="42"/>
      <c r="AI210" s="43" t="s">
        <v>87</v>
      </c>
      <c r="AJ210" s="44"/>
      <c r="AK210" s="45"/>
      <c r="AL210" s="45"/>
      <c r="AM210" s="45"/>
      <c r="AN210" s="46"/>
      <c r="AO210" s="47"/>
      <c r="AP210" s="48"/>
      <c r="AQ210" s="48"/>
      <c r="AR210" s="48"/>
      <c r="AS210" s="48"/>
      <c r="AT210" s="49"/>
      <c r="AU210" s="50"/>
      <c r="AV210" s="51"/>
      <c r="AW210" s="51"/>
      <c r="AX210" s="52"/>
      <c r="AY210" s="53"/>
      <c r="AZ210" s="80"/>
      <c r="BA210" s="54"/>
      <c r="BB210" s="55" t="s">
        <v>87</v>
      </c>
      <c r="BC210" s="55" t="s">
        <v>87</v>
      </c>
      <c r="BD210" s="55" t="s">
        <v>87</v>
      </c>
      <c r="BE210" s="55" t="s">
        <v>87</v>
      </c>
      <c r="BF210" s="55" t="s">
        <v>87</v>
      </c>
      <c r="BG210" s="56"/>
      <c r="BH210" s="57"/>
      <c r="BI210" s="58"/>
      <c r="BJ210" s="58"/>
      <c r="BK210" s="58"/>
      <c r="BL210" s="58"/>
      <c r="BM210" s="58"/>
      <c r="BN210" s="58"/>
      <c r="BO210" s="58"/>
    </row>
    <row r="211" spans="1:67" ht="28.5" customHeight="1" x14ac:dyDescent="0.35">
      <c r="A211" s="66" t="s">
        <v>1120</v>
      </c>
      <c r="B211" s="66">
        <v>59011033364</v>
      </c>
      <c r="C211" s="66" t="s">
        <v>80</v>
      </c>
      <c r="D211" s="66" t="s">
        <v>1121</v>
      </c>
      <c r="E211" s="66" t="s">
        <v>342</v>
      </c>
      <c r="F211" s="66" t="s">
        <v>83</v>
      </c>
      <c r="G211" s="66">
        <v>2000</v>
      </c>
      <c r="H211" s="66" t="s">
        <v>1122</v>
      </c>
      <c r="I211" s="67" t="s">
        <v>1123</v>
      </c>
      <c r="J211" s="68" t="s">
        <v>1124</v>
      </c>
      <c r="K211" s="68" t="s">
        <v>1125</v>
      </c>
      <c r="L211" s="59"/>
      <c r="M211" s="60"/>
      <c r="N211" s="60"/>
      <c r="O211" s="60"/>
      <c r="P211" s="60"/>
      <c r="Q211" s="61"/>
      <c r="R211" s="32" t="s">
        <v>87</v>
      </c>
      <c r="S211" s="33" t="s">
        <v>87</v>
      </c>
      <c r="T211" s="33" t="s">
        <v>87</v>
      </c>
      <c r="U211" s="33" t="s">
        <v>87</v>
      </c>
      <c r="V211" s="34" t="s">
        <v>87</v>
      </c>
      <c r="W211" s="35"/>
      <c r="X211" s="36"/>
      <c r="Y211" s="36"/>
      <c r="Z211" s="36"/>
      <c r="AA211" s="37"/>
      <c r="AB211" s="38" t="s">
        <v>87</v>
      </c>
      <c r="AC211" s="39" t="s">
        <v>87</v>
      </c>
      <c r="AD211" s="40" t="s">
        <v>87</v>
      </c>
      <c r="AE211" s="41"/>
      <c r="AF211" s="42"/>
      <c r="AG211" s="42"/>
      <c r="AH211" s="42"/>
      <c r="AI211" s="43"/>
      <c r="AJ211" s="44"/>
      <c r="AK211" s="45"/>
      <c r="AL211" s="45"/>
      <c r="AM211" s="45"/>
      <c r="AN211" s="46"/>
      <c r="AO211" s="47"/>
      <c r="AP211" s="48"/>
      <c r="AQ211" s="48"/>
      <c r="AR211" s="48"/>
      <c r="AS211" s="48"/>
      <c r="AT211" s="49"/>
      <c r="AU211" s="50" t="s">
        <v>87</v>
      </c>
      <c r="AV211" s="51" t="s">
        <v>87</v>
      </c>
      <c r="AW211" s="51" t="s">
        <v>87</v>
      </c>
      <c r="AX211" s="52" t="s">
        <v>87</v>
      </c>
      <c r="AY211" s="53"/>
      <c r="AZ211" s="80"/>
      <c r="BA211" s="54"/>
      <c r="BB211" s="55"/>
      <c r="BC211" s="55"/>
      <c r="BD211" s="55"/>
      <c r="BE211" s="55"/>
      <c r="BF211" s="55"/>
      <c r="BG211" s="56"/>
      <c r="BH211" s="57"/>
      <c r="BI211" s="58"/>
      <c r="BJ211" s="58"/>
      <c r="BK211" s="58"/>
      <c r="BL211" s="58"/>
      <c r="BM211" s="58"/>
      <c r="BN211" s="58"/>
      <c r="BO211" s="58"/>
    </row>
    <row r="212" spans="1:67" ht="28.5" customHeight="1" x14ac:dyDescent="0.35">
      <c r="A212" s="66" t="s">
        <v>1126</v>
      </c>
      <c r="B212" s="66">
        <v>86001720921</v>
      </c>
      <c r="C212" s="66" t="s">
        <v>80</v>
      </c>
      <c r="D212" s="66" t="s">
        <v>1127</v>
      </c>
      <c r="E212" s="66" t="s">
        <v>342</v>
      </c>
      <c r="F212" s="66" t="s">
        <v>83</v>
      </c>
      <c r="G212" s="66">
        <v>2009</v>
      </c>
      <c r="H212" s="67" t="s">
        <v>1128</v>
      </c>
      <c r="I212" s="67"/>
      <c r="J212" s="68" t="s">
        <v>1129</v>
      </c>
      <c r="K212" s="68" t="s">
        <v>1130</v>
      </c>
      <c r="L212" s="59"/>
      <c r="M212" s="60"/>
      <c r="N212" s="60"/>
      <c r="O212" s="60"/>
      <c r="P212" s="60"/>
      <c r="Q212" s="61"/>
      <c r="R212" s="32"/>
      <c r="S212" s="33"/>
      <c r="T212" s="33"/>
      <c r="U212" s="33"/>
      <c r="V212" s="34"/>
      <c r="W212" s="35" t="s">
        <v>87</v>
      </c>
      <c r="X212" s="36" t="s">
        <v>87</v>
      </c>
      <c r="Y212" s="36"/>
      <c r="Z212" s="36"/>
      <c r="AA212" s="37" t="s">
        <v>87</v>
      </c>
      <c r="AB212" s="38"/>
      <c r="AC212" s="39"/>
      <c r="AD212" s="40"/>
      <c r="AE212" s="41"/>
      <c r="AF212" s="42"/>
      <c r="AG212" s="42"/>
      <c r="AH212" s="42"/>
      <c r="AI212" s="43"/>
      <c r="AJ212" s="44"/>
      <c r="AK212" s="45"/>
      <c r="AL212" s="45"/>
      <c r="AM212" s="45"/>
      <c r="AN212" s="46"/>
      <c r="AO212" s="47"/>
      <c r="AP212" s="48"/>
      <c r="AQ212" s="48"/>
      <c r="AR212" s="48"/>
      <c r="AS212" s="48"/>
      <c r="AT212" s="49"/>
      <c r="AU212" s="50" t="s">
        <v>87</v>
      </c>
      <c r="AV212" s="51" t="s">
        <v>87</v>
      </c>
      <c r="AW212" s="51" t="s">
        <v>87</v>
      </c>
      <c r="AX212" s="52" t="s">
        <v>87</v>
      </c>
      <c r="AY212" s="53"/>
      <c r="AZ212" s="80"/>
      <c r="BA212" s="54"/>
      <c r="BB212" s="55"/>
      <c r="BC212" s="55"/>
      <c r="BD212" s="55"/>
      <c r="BE212" s="55"/>
      <c r="BF212" s="55"/>
      <c r="BG212" s="56"/>
      <c r="BH212" s="57"/>
      <c r="BI212" s="58"/>
      <c r="BJ212" s="58"/>
      <c r="BK212" s="58"/>
      <c r="BL212" s="58"/>
      <c r="BM212" s="58"/>
      <c r="BN212" s="58"/>
      <c r="BO212" s="58"/>
    </row>
    <row r="213" spans="1:67" ht="28.5" customHeight="1" x14ac:dyDescent="0.35">
      <c r="A213" s="66" t="s">
        <v>1131</v>
      </c>
      <c r="B213" s="66">
        <v>51141852422</v>
      </c>
      <c r="C213" s="66" t="s">
        <v>80</v>
      </c>
      <c r="D213" s="66" t="s">
        <v>1132</v>
      </c>
      <c r="E213" s="66" t="s">
        <v>263</v>
      </c>
      <c r="F213" s="66" t="s">
        <v>83</v>
      </c>
      <c r="G213" s="66" t="str">
        <f>"2009"</f>
        <v>2009</v>
      </c>
      <c r="H213" s="66" t="str">
        <f>"02 8866 2030"</f>
        <v>02 8866 2030</v>
      </c>
      <c r="I213" s="66" t="str">
        <f>"0417068856"</f>
        <v>0417068856</v>
      </c>
      <c r="J213" s="68" t="s">
        <v>1133</v>
      </c>
      <c r="K213" s="68" t="s">
        <v>1134</v>
      </c>
      <c r="L213" s="59"/>
      <c r="M213" s="60"/>
      <c r="N213" s="60"/>
      <c r="O213" s="60"/>
      <c r="P213" s="60"/>
      <c r="Q213" s="61"/>
      <c r="R213" s="32" t="s">
        <v>87</v>
      </c>
      <c r="S213" s="33" t="s">
        <v>87</v>
      </c>
      <c r="T213" s="33" t="s">
        <v>87</v>
      </c>
      <c r="U213" s="33"/>
      <c r="V213" s="34" t="s">
        <v>87</v>
      </c>
      <c r="W213" s="35" t="s">
        <v>87</v>
      </c>
      <c r="X213" s="36" t="s">
        <v>87</v>
      </c>
      <c r="Y213" s="36" t="s">
        <v>87</v>
      </c>
      <c r="Z213" s="36" t="s">
        <v>87</v>
      </c>
      <c r="AA213" s="37" t="s">
        <v>87</v>
      </c>
      <c r="AB213" s="38"/>
      <c r="AC213" s="39"/>
      <c r="AD213" s="40"/>
      <c r="AE213" s="41"/>
      <c r="AF213" s="42"/>
      <c r="AG213" s="42"/>
      <c r="AH213" s="42"/>
      <c r="AI213" s="43"/>
      <c r="AJ213" s="44"/>
      <c r="AK213" s="45"/>
      <c r="AL213" s="45"/>
      <c r="AM213" s="45"/>
      <c r="AN213" s="46"/>
      <c r="AO213" s="47"/>
      <c r="AP213" s="48"/>
      <c r="AQ213" s="48"/>
      <c r="AR213" s="48"/>
      <c r="AS213" s="48"/>
      <c r="AT213" s="49"/>
      <c r="AU213" s="50"/>
      <c r="AV213" s="51"/>
      <c r="AW213" s="51"/>
      <c r="AX213" s="52"/>
      <c r="AY213" s="53" t="s">
        <v>87</v>
      </c>
      <c r="AZ213" s="80" t="s">
        <v>87</v>
      </c>
      <c r="BA213" s="54"/>
      <c r="BB213" s="55"/>
      <c r="BC213" s="55"/>
      <c r="BD213" s="55"/>
      <c r="BE213" s="55"/>
      <c r="BF213" s="55"/>
      <c r="BG213" s="56"/>
      <c r="BH213" s="57"/>
      <c r="BI213" s="58"/>
      <c r="BJ213" s="58"/>
      <c r="BK213" s="58"/>
      <c r="BL213" s="58"/>
      <c r="BM213" s="58"/>
      <c r="BN213" s="58"/>
      <c r="BO213" s="58"/>
    </row>
    <row r="214" spans="1:67" ht="28.5" customHeight="1" x14ac:dyDescent="0.35">
      <c r="A214" s="66" t="s">
        <v>1135</v>
      </c>
      <c r="B214" s="66">
        <v>32164490233</v>
      </c>
      <c r="C214" s="66" t="s">
        <v>80</v>
      </c>
      <c r="D214" s="66" t="s">
        <v>1136</v>
      </c>
      <c r="E214" s="66" t="s">
        <v>90</v>
      </c>
      <c r="F214" s="66" t="s">
        <v>83</v>
      </c>
      <c r="G214" s="66" t="str">
        <f>"2041"</f>
        <v>2041</v>
      </c>
      <c r="H214" s="69"/>
      <c r="I214" s="66" t="str">
        <f>"0412900121"</f>
        <v>0412900121</v>
      </c>
      <c r="J214" s="68" t="s">
        <v>1137</v>
      </c>
      <c r="K214" s="68" t="s">
        <v>1138</v>
      </c>
      <c r="L214" s="59"/>
      <c r="M214" s="60"/>
      <c r="N214" s="60"/>
      <c r="O214" s="60"/>
      <c r="P214" s="60"/>
      <c r="Q214" s="61"/>
      <c r="R214" s="32"/>
      <c r="S214" s="33"/>
      <c r="T214" s="33"/>
      <c r="U214" s="33"/>
      <c r="V214" s="34"/>
      <c r="W214" s="35"/>
      <c r="X214" s="36"/>
      <c r="Y214" s="36"/>
      <c r="Z214" s="36"/>
      <c r="AA214" s="37"/>
      <c r="AB214" s="38"/>
      <c r="AC214" s="39"/>
      <c r="AD214" s="40"/>
      <c r="AE214" s="41"/>
      <c r="AF214" s="42"/>
      <c r="AG214" s="42"/>
      <c r="AH214" s="42"/>
      <c r="AI214" s="43"/>
      <c r="AJ214" s="44"/>
      <c r="AK214" s="45"/>
      <c r="AL214" s="45"/>
      <c r="AM214" s="45"/>
      <c r="AN214" s="46"/>
      <c r="AO214" s="47"/>
      <c r="AP214" s="48"/>
      <c r="AQ214" s="48"/>
      <c r="AR214" s="48"/>
      <c r="AS214" s="48"/>
      <c r="AT214" s="49"/>
      <c r="AU214" s="50"/>
      <c r="AV214" s="51"/>
      <c r="AW214" s="51"/>
      <c r="AX214" s="52"/>
      <c r="AY214" s="53"/>
      <c r="AZ214" s="80"/>
      <c r="BA214" s="54"/>
      <c r="BB214" s="55"/>
      <c r="BC214" s="55"/>
      <c r="BD214" s="55"/>
      <c r="BE214" s="55"/>
      <c r="BF214" s="55"/>
      <c r="BG214" s="56"/>
      <c r="BH214" s="57" t="s">
        <v>87</v>
      </c>
      <c r="BI214" s="58" t="s">
        <v>87</v>
      </c>
      <c r="BJ214" s="58" t="s">
        <v>87</v>
      </c>
      <c r="BK214" s="58" t="s">
        <v>87</v>
      </c>
      <c r="BL214" s="58" t="s">
        <v>87</v>
      </c>
      <c r="BM214" s="58" t="s">
        <v>87</v>
      </c>
      <c r="BN214" s="58" t="s">
        <v>87</v>
      </c>
      <c r="BO214" s="58" t="s">
        <v>87</v>
      </c>
    </row>
    <row r="215" spans="1:67" ht="28.5" customHeight="1" x14ac:dyDescent="0.35">
      <c r="A215" s="66" t="s">
        <v>1139</v>
      </c>
      <c r="B215" s="66">
        <v>76618622601</v>
      </c>
      <c r="C215" s="66" t="s">
        <v>80</v>
      </c>
      <c r="D215" s="66" t="s">
        <v>1140</v>
      </c>
      <c r="E215" s="66" t="s">
        <v>365</v>
      </c>
      <c r="F215" s="66" t="s">
        <v>83</v>
      </c>
      <c r="G215" s="66">
        <v>2010</v>
      </c>
      <c r="H215" s="67" t="s">
        <v>1141</v>
      </c>
      <c r="I215" s="66"/>
      <c r="J215" s="68" t="s">
        <v>1142</v>
      </c>
      <c r="K215" s="68" t="s">
        <v>1143</v>
      </c>
      <c r="L215" s="59"/>
      <c r="M215" s="60"/>
      <c r="N215" s="60"/>
      <c r="O215" s="60"/>
      <c r="P215" s="60"/>
      <c r="Q215" s="61"/>
      <c r="R215" s="32" t="s">
        <v>87</v>
      </c>
      <c r="S215" s="33" t="s">
        <v>87</v>
      </c>
      <c r="T215" s="33"/>
      <c r="U215" s="33"/>
      <c r="V215" s="34" t="s">
        <v>87</v>
      </c>
      <c r="W215" s="35" t="s">
        <v>87</v>
      </c>
      <c r="X215" s="36" t="s">
        <v>87</v>
      </c>
      <c r="Y215" s="36"/>
      <c r="Z215" s="36" t="s">
        <v>87</v>
      </c>
      <c r="AA215" s="37" t="s">
        <v>87</v>
      </c>
      <c r="AB215" s="38"/>
      <c r="AC215" s="39"/>
      <c r="AD215" s="40"/>
      <c r="AE215" s="41"/>
      <c r="AF215" s="42"/>
      <c r="AG215" s="42"/>
      <c r="AH215" s="42"/>
      <c r="AI215" s="43"/>
      <c r="AJ215" s="44"/>
      <c r="AK215" s="45"/>
      <c r="AL215" s="45"/>
      <c r="AM215" s="45"/>
      <c r="AN215" s="46"/>
      <c r="AO215" s="47"/>
      <c r="AP215" s="48"/>
      <c r="AQ215" s="48"/>
      <c r="AR215" s="48"/>
      <c r="AS215" s="48"/>
      <c r="AT215" s="49"/>
      <c r="AU215" s="50" t="s">
        <v>87</v>
      </c>
      <c r="AV215" s="51" t="s">
        <v>87</v>
      </c>
      <c r="AW215" s="51" t="s">
        <v>87</v>
      </c>
      <c r="AX215" s="52" t="s">
        <v>87</v>
      </c>
      <c r="AY215" s="53"/>
      <c r="AZ215" s="80"/>
      <c r="BA215" s="54"/>
      <c r="BB215" s="55"/>
      <c r="BC215" s="55"/>
      <c r="BD215" s="55"/>
      <c r="BE215" s="55"/>
      <c r="BF215" s="55"/>
      <c r="BG215" s="56"/>
      <c r="BH215" s="57"/>
      <c r="BI215" s="58"/>
      <c r="BJ215" s="58"/>
      <c r="BK215" s="58"/>
      <c r="BL215" s="58"/>
      <c r="BM215" s="58"/>
      <c r="BN215" s="58"/>
      <c r="BO215" s="58"/>
    </row>
    <row r="216" spans="1:67" ht="28.5" customHeight="1" x14ac:dyDescent="0.35">
      <c r="A216" s="66" t="s">
        <v>1144</v>
      </c>
      <c r="B216" s="66">
        <v>14160258328</v>
      </c>
      <c r="C216" s="66" t="s">
        <v>80</v>
      </c>
      <c r="D216" s="66" t="s">
        <v>1145</v>
      </c>
      <c r="E216" s="66" t="s">
        <v>335</v>
      </c>
      <c r="F216" s="66" t="s">
        <v>83</v>
      </c>
      <c r="G216" s="66">
        <v>2000</v>
      </c>
      <c r="H216" s="67" t="s">
        <v>1146</v>
      </c>
      <c r="I216" s="67" t="s">
        <v>1147</v>
      </c>
      <c r="J216" s="68" t="s">
        <v>1148</v>
      </c>
      <c r="K216" s="68" t="s">
        <v>1149</v>
      </c>
      <c r="L216" s="59"/>
      <c r="M216" s="60"/>
      <c r="N216" s="60"/>
      <c r="O216" s="60"/>
      <c r="P216" s="60"/>
      <c r="Q216" s="61"/>
      <c r="R216" s="32"/>
      <c r="S216" s="33"/>
      <c r="T216" s="33" t="s">
        <v>87</v>
      </c>
      <c r="U216" s="33" t="s">
        <v>87</v>
      </c>
      <c r="V216" s="34"/>
      <c r="W216" s="35"/>
      <c r="X216" s="36"/>
      <c r="Y216" s="36"/>
      <c r="Z216" s="36"/>
      <c r="AA216" s="37"/>
      <c r="AB216" s="38"/>
      <c r="AC216" s="39"/>
      <c r="AD216" s="40"/>
      <c r="AE216" s="41"/>
      <c r="AF216" s="42"/>
      <c r="AG216" s="42"/>
      <c r="AH216" s="42"/>
      <c r="AI216" s="43"/>
      <c r="AJ216" s="44"/>
      <c r="AK216" s="45"/>
      <c r="AL216" s="45"/>
      <c r="AM216" s="45"/>
      <c r="AN216" s="46"/>
      <c r="AO216" s="47"/>
      <c r="AP216" s="48"/>
      <c r="AQ216" s="48"/>
      <c r="AR216" s="48"/>
      <c r="AS216" s="48"/>
      <c r="AT216" s="49"/>
      <c r="AU216" s="50"/>
      <c r="AV216" s="51"/>
      <c r="AW216" s="51"/>
      <c r="AX216" s="52"/>
      <c r="AY216" s="53"/>
      <c r="AZ216" s="80"/>
      <c r="BA216" s="54"/>
      <c r="BB216" s="55"/>
      <c r="BC216" s="55"/>
      <c r="BD216" s="55"/>
      <c r="BE216" s="55"/>
      <c r="BF216" s="55" t="s">
        <v>87</v>
      </c>
      <c r="BG216" s="56"/>
      <c r="BH216" s="57"/>
      <c r="BI216" s="58"/>
      <c r="BJ216" s="58"/>
      <c r="BK216" s="58"/>
      <c r="BL216" s="58"/>
      <c r="BM216" s="58"/>
      <c r="BN216" s="58"/>
      <c r="BO216" s="58"/>
    </row>
    <row r="217" spans="1:67" ht="28.5" customHeight="1" x14ac:dyDescent="0.35">
      <c r="A217" s="66" t="s">
        <v>1150</v>
      </c>
      <c r="B217" s="66">
        <v>90169634431</v>
      </c>
      <c r="C217" s="66" t="s">
        <v>80</v>
      </c>
      <c r="D217" s="66" t="s">
        <v>1151</v>
      </c>
      <c r="E217" s="66" t="s">
        <v>1152</v>
      </c>
      <c r="F217" s="66" t="s">
        <v>115</v>
      </c>
      <c r="G217" s="66" t="str">
        <f>"4001"</f>
        <v>4001</v>
      </c>
      <c r="H217" s="66" t="str">
        <f>"1300 772 842"</f>
        <v>1300 772 842</v>
      </c>
      <c r="I217" s="66" t="str">
        <f>"0404023117"</f>
        <v>0404023117</v>
      </c>
      <c r="J217" s="68" t="s">
        <v>1153</v>
      </c>
      <c r="K217" s="68" t="s">
        <v>1154</v>
      </c>
      <c r="L217" s="59"/>
      <c r="M217" s="60"/>
      <c r="N217" s="60"/>
      <c r="O217" s="60"/>
      <c r="P217" s="60"/>
      <c r="Q217" s="61"/>
      <c r="R217" s="32"/>
      <c r="S217" s="33"/>
      <c r="T217" s="33"/>
      <c r="U217" s="33"/>
      <c r="V217" s="34"/>
      <c r="W217" s="35"/>
      <c r="X217" s="36"/>
      <c r="Y217" s="36"/>
      <c r="Z217" s="36"/>
      <c r="AA217" s="37"/>
      <c r="AB217" s="38"/>
      <c r="AC217" s="39"/>
      <c r="AD217" s="40"/>
      <c r="AE217" s="41"/>
      <c r="AF217" s="42"/>
      <c r="AG217" s="42"/>
      <c r="AH217" s="42"/>
      <c r="AI217" s="43"/>
      <c r="AJ217" s="44"/>
      <c r="AK217" s="45"/>
      <c r="AL217" s="45"/>
      <c r="AM217" s="45"/>
      <c r="AN217" s="46"/>
      <c r="AO217" s="47"/>
      <c r="AP217" s="48"/>
      <c r="AQ217" s="48"/>
      <c r="AR217" s="48"/>
      <c r="AS217" s="48"/>
      <c r="AT217" s="49"/>
      <c r="AU217" s="50" t="s">
        <v>87</v>
      </c>
      <c r="AV217" s="51" t="s">
        <v>87</v>
      </c>
      <c r="AW217" s="51" t="s">
        <v>87</v>
      </c>
      <c r="AX217" s="52" t="s">
        <v>87</v>
      </c>
      <c r="AY217" s="53"/>
      <c r="AZ217" s="80"/>
      <c r="BA217" s="54"/>
      <c r="BB217" s="55"/>
      <c r="BC217" s="55"/>
      <c r="BD217" s="55" t="s">
        <v>87</v>
      </c>
      <c r="BE217" s="55"/>
      <c r="BF217" s="55"/>
      <c r="BG217" s="56"/>
      <c r="BH217" s="57" t="s">
        <v>87</v>
      </c>
      <c r="BI217" s="58" t="s">
        <v>87</v>
      </c>
      <c r="BJ217" s="58" t="s">
        <v>87</v>
      </c>
      <c r="BK217" s="58" t="s">
        <v>87</v>
      </c>
      <c r="BL217" s="58" t="s">
        <v>87</v>
      </c>
      <c r="BM217" s="58" t="s">
        <v>87</v>
      </c>
      <c r="BN217" s="58" t="s">
        <v>87</v>
      </c>
      <c r="BO217" s="58" t="s">
        <v>87</v>
      </c>
    </row>
    <row r="218" spans="1:67" ht="28.5" customHeight="1" x14ac:dyDescent="0.35">
      <c r="A218" s="66" t="s">
        <v>1155</v>
      </c>
      <c r="B218" s="66">
        <v>91314398574</v>
      </c>
      <c r="C218" s="66" t="s">
        <v>80</v>
      </c>
      <c r="D218" s="66" t="s">
        <v>1156</v>
      </c>
      <c r="E218" s="66" t="s">
        <v>1157</v>
      </c>
      <c r="F218" s="66" t="s">
        <v>83</v>
      </c>
      <c r="G218" s="66">
        <v>2064</v>
      </c>
      <c r="H218" s="67"/>
      <c r="I218" s="67" t="s">
        <v>1158</v>
      </c>
      <c r="J218" s="68" t="s">
        <v>1159</v>
      </c>
      <c r="K218" s="68"/>
      <c r="L218" s="59"/>
      <c r="M218" s="60"/>
      <c r="N218" s="60"/>
      <c r="O218" s="60"/>
      <c r="P218" s="60"/>
      <c r="Q218" s="61"/>
      <c r="R218" s="32"/>
      <c r="S218" s="33"/>
      <c r="T218" s="33"/>
      <c r="U218" s="33"/>
      <c r="V218" s="34"/>
      <c r="W218" s="35"/>
      <c r="X218" s="36"/>
      <c r="Y218" s="36"/>
      <c r="Z218" s="36"/>
      <c r="AA218" s="37"/>
      <c r="AB218" s="38"/>
      <c r="AC218" s="39"/>
      <c r="AD218" s="40"/>
      <c r="AE218" s="41"/>
      <c r="AF218" s="42"/>
      <c r="AG218" s="42"/>
      <c r="AH218" s="42"/>
      <c r="AI218" s="43"/>
      <c r="AJ218" s="44"/>
      <c r="AK218" s="45"/>
      <c r="AL218" s="45"/>
      <c r="AM218" s="45"/>
      <c r="AN218" s="46"/>
      <c r="AO218" s="47" t="s">
        <v>87</v>
      </c>
      <c r="AP218" s="48" t="s">
        <v>87</v>
      </c>
      <c r="AQ218" s="48"/>
      <c r="AR218" s="48"/>
      <c r="AS218" s="48"/>
      <c r="AT218" s="49"/>
      <c r="AU218" s="50"/>
      <c r="AV218" s="51"/>
      <c r="AW218" s="51"/>
      <c r="AX218" s="52"/>
      <c r="AY218" s="53"/>
      <c r="AZ218" s="80"/>
      <c r="BA218" s="54"/>
      <c r="BB218" s="55"/>
      <c r="BC218" s="55"/>
      <c r="BD218" s="55"/>
      <c r="BE218" s="55"/>
      <c r="BF218" s="55"/>
      <c r="BG218" s="56"/>
      <c r="BH218" s="57"/>
      <c r="BI218" s="58"/>
      <c r="BJ218" s="58"/>
      <c r="BK218" s="58"/>
      <c r="BL218" s="58"/>
      <c r="BM218" s="58"/>
      <c r="BN218" s="58" t="s">
        <v>87</v>
      </c>
      <c r="BO218" s="58" t="s">
        <v>87</v>
      </c>
    </row>
    <row r="219" spans="1:67" ht="28.5" customHeight="1" x14ac:dyDescent="0.35">
      <c r="A219" s="69" t="s">
        <v>1160</v>
      </c>
      <c r="B219" s="69">
        <v>69169537142</v>
      </c>
      <c r="C219" s="69" t="s">
        <v>80</v>
      </c>
      <c r="D219" s="69" t="s">
        <v>1161</v>
      </c>
      <c r="E219" s="69" t="s">
        <v>152</v>
      </c>
      <c r="F219" s="69" t="s">
        <v>83</v>
      </c>
      <c r="G219" s="69">
        <v>2026</v>
      </c>
      <c r="H219" s="69"/>
      <c r="I219" s="71" t="s">
        <v>1162</v>
      </c>
      <c r="J219" s="70" t="s">
        <v>1163</v>
      </c>
      <c r="K219" s="70" t="s">
        <v>1164</v>
      </c>
      <c r="L219" s="59"/>
      <c r="M219" s="60"/>
      <c r="N219" s="60"/>
      <c r="O219" s="60"/>
      <c r="P219" s="60"/>
      <c r="Q219" s="61"/>
      <c r="R219" s="32" t="s">
        <v>87</v>
      </c>
      <c r="S219" s="33" t="s">
        <v>87</v>
      </c>
      <c r="T219" s="33" t="s">
        <v>87</v>
      </c>
      <c r="U219" s="33" t="s">
        <v>87</v>
      </c>
      <c r="V219" s="34" t="s">
        <v>87</v>
      </c>
      <c r="W219" s="35"/>
      <c r="X219" s="36"/>
      <c r="Y219" s="36"/>
      <c r="Z219" s="36"/>
      <c r="AA219" s="37"/>
      <c r="AB219" s="38"/>
      <c r="AC219" s="39"/>
      <c r="AD219" s="40"/>
      <c r="AE219" s="41"/>
      <c r="AF219" s="42"/>
      <c r="AG219" s="42"/>
      <c r="AH219" s="42"/>
      <c r="AI219" s="43"/>
      <c r="AJ219" s="44"/>
      <c r="AK219" s="45"/>
      <c r="AL219" s="45"/>
      <c r="AM219" s="45"/>
      <c r="AN219" s="46"/>
      <c r="AO219" s="47"/>
      <c r="AP219" s="48"/>
      <c r="AQ219" s="48"/>
      <c r="AR219" s="48"/>
      <c r="AS219" s="48"/>
      <c r="AT219" s="49"/>
      <c r="AU219" s="50"/>
      <c r="AV219" s="51"/>
      <c r="AW219" s="51"/>
      <c r="AX219" s="52"/>
      <c r="AY219" s="53" t="s">
        <v>87</v>
      </c>
      <c r="AZ219" s="80" t="s">
        <v>87</v>
      </c>
      <c r="BA219" s="54"/>
      <c r="BB219" s="55"/>
      <c r="BC219" s="55"/>
      <c r="BD219" s="55"/>
      <c r="BE219" s="55"/>
      <c r="BF219" s="55"/>
      <c r="BG219" s="56"/>
      <c r="BH219" s="57"/>
      <c r="BI219" s="58"/>
      <c r="BJ219" s="58"/>
      <c r="BK219" s="58"/>
      <c r="BL219" s="58"/>
      <c r="BM219" s="58"/>
      <c r="BN219" s="58"/>
      <c r="BO219" s="58"/>
    </row>
    <row r="220" spans="1:67" ht="28.5" customHeight="1" x14ac:dyDescent="0.35">
      <c r="A220" s="66" t="s">
        <v>1165</v>
      </c>
      <c r="B220" s="66">
        <v>78790088151</v>
      </c>
      <c r="C220" s="66" t="s">
        <v>80</v>
      </c>
      <c r="D220" s="66" t="s">
        <v>1166</v>
      </c>
      <c r="E220" s="66" t="s">
        <v>90</v>
      </c>
      <c r="F220" s="66" t="s">
        <v>83</v>
      </c>
      <c r="G220" s="66" t="str">
        <f>"2037"</f>
        <v>2037</v>
      </c>
      <c r="H220" s="66"/>
      <c r="I220" s="66" t="str">
        <f>"0408526089"</f>
        <v>0408526089</v>
      </c>
      <c r="J220" s="68" t="s">
        <v>1167</v>
      </c>
      <c r="K220" s="68" t="s">
        <v>1168</v>
      </c>
      <c r="L220" s="59"/>
      <c r="M220" s="60"/>
      <c r="N220" s="60"/>
      <c r="O220" s="60"/>
      <c r="P220" s="60"/>
      <c r="Q220" s="61"/>
      <c r="R220" s="32"/>
      <c r="S220" s="33"/>
      <c r="T220" s="33"/>
      <c r="U220" s="33"/>
      <c r="V220" s="34"/>
      <c r="W220" s="35"/>
      <c r="X220" s="36"/>
      <c r="Y220" s="36"/>
      <c r="Z220" s="36"/>
      <c r="AA220" s="37"/>
      <c r="AB220" s="38"/>
      <c r="AC220" s="39"/>
      <c r="AD220" s="40"/>
      <c r="AE220" s="41"/>
      <c r="AF220" s="42"/>
      <c r="AG220" s="42"/>
      <c r="AH220" s="42"/>
      <c r="AI220" s="43"/>
      <c r="AJ220" s="44"/>
      <c r="AK220" s="45"/>
      <c r="AL220" s="45"/>
      <c r="AM220" s="45"/>
      <c r="AN220" s="46"/>
      <c r="AO220" s="47"/>
      <c r="AP220" s="48"/>
      <c r="AQ220" s="48"/>
      <c r="AR220" s="48"/>
      <c r="AS220" s="48"/>
      <c r="AT220" s="49"/>
      <c r="AU220" s="50"/>
      <c r="AV220" s="51"/>
      <c r="AW220" s="51"/>
      <c r="AX220" s="52"/>
      <c r="AY220" s="53"/>
      <c r="AZ220" s="80"/>
      <c r="BA220" s="54"/>
      <c r="BB220" s="55"/>
      <c r="BC220" s="55"/>
      <c r="BD220" s="55"/>
      <c r="BE220" s="55"/>
      <c r="BF220" s="55"/>
      <c r="BG220" s="56"/>
      <c r="BH220" s="57" t="s">
        <v>87</v>
      </c>
      <c r="BI220" s="58" t="s">
        <v>87</v>
      </c>
      <c r="BJ220" s="58" t="s">
        <v>87</v>
      </c>
      <c r="BK220" s="58" t="s">
        <v>87</v>
      </c>
      <c r="BL220" s="58"/>
      <c r="BM220" s="58"/>
      <c r="BN220" s="58" t="s">
        <v>87</v>
      </c>
      <c r="BO220" s="58" t="s">
        <v>87</v>
      </c>
    </row>
    <row r="221" spans="1:67" ht="28.5" customHeight="1" x14ac:dyDescent="0.35">
      <c r="A221" s="66" t="s">
        <v>1169</v>
      </c>
      <c r="B221" s="66">
        <v>96166285534</v>
      </c>
      <c r="C221" s="66" t="s">
        <v>80</v>
      </c>
      <c r="D221" s="66" t="s">
        <v>1170</v>
      </c>
      <c r="E221" s="66" t="s">
        <v>90</v>
      </c>
      <c r="F221" s="66" t="s">
        <v>83</v>
      </c>
      <c r="G221" s="66">
        <v>2000</v>
      </c>
      <c r="H221" s="66"/>
      <c r="I221" s="67" t="s">
        <v>1172</v>
      </c>
      <c r="J221" s="68" t="s">
        <v>1173</v>
      </c>
      <c r="K221" s="68" t="s">
        <v>1174</v>
      </c>
      <c r="L221" s="59"/>
      <c r="M221" s="60"/>
      <c r="N221" s="60"/>
      <c r="O221" s="60"/>
      <c r="P221" s="60"/>
      <c r="Q221" s="61"/>
      <c r="R221" s="32"/>
      <c r="S221" s="33"/>
      <c r="T221" s="33"/>
      <c r="U221" s="33"/>
      <c r="V221" s="34"/>
      <c r="W221" s="35"/>
      <c r="X221" s="36"/>
      <c r="Y221" s="36"/>
      <c r="Z221" s="36"/>
      <c r="AA221" s="37"/>
      <c r="AB221" s="38" t="s">
        <v>87</v>
      </c>
      <c r="AC221" s="39"/>
      <c r="AD221" s="40"/>
      <c r="AE221" s="41"/>
      <c r="AF221" s="42"/>
      <c r="AG221" s="42"/>
      <c r="AH221" s="42"/>
      <c r="AI221" s="43"/>
      <c r="AJ221" s="44"/>
      <c r="AK221" s="45"/>
      <c r="AL221" s="45"/>
      <c r="AM221" s="45"/>
      <c r="AN221" s="46"/>
      <c r="AO221" s="47"/>
      <c r="AP221" s="48"/>
      <c r="AQ221" s="48"/>
      <c r="AR221" s="48"/>
      <c r="AS221" s="48"/>
      <c r="AT221" s="49"/>
      <c r="AU221" s="50" t="s">
        <v>87</v>
      </c>
      <c r="AV221" s="51"/>
      <c r="AW221" s="51" t="s">
        <v>87</v>
      </c>
      <c r="AX221" s="52"/>
      <c r="AY221" s="53" t="s">
        <v>87</v>
      </c>
      <c r="AZ221" s="80"/>
      <c r="BA221" s="54"/>
      <c r="BB221" s="55"/>
      <c r="BC221" s="55"/>
      <c r="BD221" s="55"/>
      <c r="BE221" s="55"/>
      <c r="BF221" s="55"/>
      <c r="BG221" s="56"/>
      <c r="BH221" s="57"/>
      <c r="BI221" s="58"/>
      <c r="BJ221" s="58"/>
      <c r="BK221" s="58"/>
      <c r="BL221" s="58"/>
      <c r="BM221" s="58"/>
      <c r="BN221" s="58"/>
      <c r="BO221" s="58"/>
    </row>
    <row r="222" spans="1:67" ht="28.5" customHeight="1" x14ac:dyDescent="0.35">
      <c r="A222" s="66" t="s">
        <v>1175</v>
      </c>
      <c r="B222" s="66">
        <v>98008438828</v>
      </c>
      <c r="C222" s="66" t="s">
        <v>80</v>
      </c>
      <c r="D222" s="66" t="s">
        <v>1176</v>
      </c>
      <c r="E222" s="66" t="s">
        <v>342</v>
      </c>
      <c r="F222" s="66" t="s">
        <v>83</v>
      </c>
      <c r="G222" s="66" t="str">
        <f>"2010"</f>
        <v>2010</v>
      </c>
      <c r="H222" s="66" t="str">
        <f>"02 8114 6119"</f>
        <v>02 8114 6119</v>
      </c>
      <c r="I222" s="66" t="str">
        <f>"0432496024"</f>
        <v>0432496024</v>
      </c>
      <c r="J222" s="68" t="s">
        <v>1177</v>
      </c>
      <c r="K222" s="68" t="s">
        <v>1178</v>
      </c>
      <c r="L222" s="59"/>
      <c r="M222" s="60"/>
      <c r="N222" s="60"/>
      <c r="O222" s="60"/>
      <c r="P222" s="60"/>
      <c r="Q222" s="61"/>
      <c r="R222" s="32"/>
      <c r="S222" s="33"/>
      <c r="T222" s="33"/>
      <c r="U222" s="33"/>
      <c r="V222" s="34"/>
      <c r="W222" s="35"/>
      <c r="X222" s="36"/>
      <c r="Y222" s="36"/>
      <c r="Z222" s="36"/>
      <c r="AA222" s="37"/>
      <c r="AB222" s="38"/>
      <c r="AC222" s="39"/>
      <c r="AD222" s="40"/>
      <c r="AE222" s="41"/>
      <c r="AF222" s="42"/>
      <c r="AG222" s="42"/>
      <c r="AH222" s="42"/>
      <c r="AI222" s="43"/>
      <c r="AJ222" s="44"/>
      <c r="AK222" s="45"/>
      <c r="AL222" s="45"/>
      <c r="AM222" s="45"/>
      <c r="AN222" s="46"/>
      <c r="AO222" s="47"/>
      <c r="AP222" s="48"/>
      <c r="AQ222" s="48"/>
      <c r="AR222" s="48"/>
      <c r="AS222" s="48"/>
      <c r="AT222" s="49"/>
      <c r="AU222" s="50"/>
      <c r="AV222" s="51"/>
      <c r="AW222" s="51"/>
      <c r="AX222" s="52"/>
      <c r="AY222" s="53" t="s">
        <v>87</v>
      </c>
      <c r="AZ222" s="80" t="s">
        <v>87</v>
      </c>
      <c r="BA222" s="54"/>
      <c r="BB222" s="55"/>
      <c r="BC222" s="55" t="s">
        <v>87</v>
      </c>
      <c r="BD222" s="55" t="s">
        <v>87</v>
      </c>
      <c r="BE222" s="55"/>
      <c r="BF222" s="55"/>
      <c r="BG222" s="56"/>
      <c r="BH222" s="57" t="s">
        <v>87</v>
      </c>
      <c r="BI222" s="58" t="s">
        <v>87</v>
      </c>
      <c r="BJ222" s="58"/>
      <c r="BK222" s="58"/>
      <c r="BL222" s="58" t="s">
        <v>87</v>
      </c>
      <c r="BM222" s="58" t="s">
        <v>87</v>
      </c>
      <c r="BN222" s="58" t="s">
        <v>87</v>
      </c>
      <c r="BO222" s="58" t="s">
        <v>87</v>
      </c>
    </row>
    <row r="223" spans="1:67" ht="28.5" customHeight="1" x14ac:dyDescent="0.35">
      <c r="A223" s="69" t="s">
        <v>1179</v>
      </c>
      <c r="B223" s="69">
        <v>86002973640</v>
      </c>
      <c r="C223" s="69" t="s">
        <v>80</v>
      </c>
      <c r="D223" s="69" t="s">
        <v>1180</v>
      </c>
      <c r="E223" s="69" t="s">
        <v>90</v>
      </c>
      <c r="F223" s="69" t="s">
        <v>83</v>
      </c>
      <c r="G223" s="69">
        <v>2204</v>
      </c>
      <c r="H223" s="69" t="s">
        <v>1181</v>
      </c>
      <c r="I223" s="71" t="s">
        <v>1182</v>
      </c>
      <c r="J223" s="70" t="s">
        <v>1183</v>
      </c>
      <c r="K223" s="70" t="s">
        <v>1184</v>
      </c>
      <c r="L223" s="59"/>
      <c r="M223" s="60"/>
      <c r="N223" s="60"/>
      <c r="O223" s="60"/>
      <c r="P223" s="60"/>
      <c r="Q223" s="61"/>
      <c r="R223" s="32"/>
      <c r="S223" s="33"/>
      <c r="T223" s="33"/>
      <c r="U223" s="33"/>
      <c r="V223" s="34"/>
      <c r="W223" s="35"/>
      <c r="X223" s="36"/>
      <c r="Y223" s="36"/>
      <c r="Z223" s="36"/>
      <c r="AA223" s="37"/>
      <c r="AB223" s="38"/>
      <c r="AC223" s="39"/>
      <c r="AD223" s="40"/>
      <c r="AE223" s="41"/>
      <c r="AF223" s="42"/>
      <c r="AG223" s="42"/>
      <c r="AH223" s="42"/>
      <c r="AI223" s="43"/>
      <c r="AJ223" s="44"/>
      <c r="AK223" s="45"/>
      <c r="AL223" s="45"/>
      <c r="AM223" s="45"/>
      <c r="AN223" s="46"/>
      <c r="AO223" s="47"/>
      <c r="AP223" s="48"/>
      <c r="AQ223" s="48"/>
      <c r="AR223" s="48"/>
      <c r="AS223" s="48"/>
      <c r="AT223" s="49"/>
      <c r="AU223" s="50"/>
      <c r="AV223" s="51"/>
      <c r="AW223" s="51"/>
      <c r="AX223" s="52"/>
      <c r="AY223" s="53"/>
      <c r="AZ223" s="80"/>
      <c r="BA223" s="54"/>
      <c r="BB223" s="55"/>
      <c r="BC223" s="55"/>
      <c r="BD223" s="55"/>
      <c r="BE223" s="55"/>
      <c r="BF223" s="55"/>
      <c r="BG223" s="56"/>
      <c r="BH223" s="57"/>
      <c r="BI223" s="58" t="s">
        <v>87</v>
      </c>
      <c r="BJ223" s="58"/>
      <c r="BK223" s="58"/>
      <c r="BL223" s="58"/>
      <c r="BM223" s="58"/>
      <c r="BN223" s="58" t="s">
        <v>87</v>
      </c>
      <c r="BO223" s="58" t="s">
        <v>87</v>
      </c>
    </row>
    <row r="224" spans="1:67" ht="28.5" customHeight="1" x14ac:dyDescent="0.35">
      <c r="A224" s="66" t="s">
        <v>1185</v>
      </c>
      <c r="B224" s="66">
        <v>97144773553</v>
      </c>
      <c r="C224" s="66" t="s">
        <v>80</v>
      </c>
      <c r="D224" s="66" t="s">
        <v>1186</v>
      </c>
      <c r="E224" s="66" t="s">
        <v>90</v>
      </c>
      <c r="F224" s="66" t="s">
        <v>83</v>
      </c>
      <c r="G224" s="66" t="str">
        <f>"2107"</f>
        <v>2107</v>
      </c>
      <c r="H224" s="66"/>
      <c r="I224" s="66" t="str">
        <f>"0409446014"</f>
        <v>0409446014</v>
      </c>
      <c r="J224" s="68" t="s">
        <v>1187</v>
      </c>
      <c r="K224" s="68" t="s">
        <v>1188</v>
      </c>
      <c r="L224" s="59"/>
      <c r="M224" s="60"/>
      <c r="N224" s="60"/>
      <c r="O224" s="60"/>
      <c r="P224" s="60"/>
      <c r="Q224" s="61"/>
      <c r="R224" s="32"/>
      <c r="S224" s="33"/>
      <c r="T224" s="33"/>
      <c r="U224" s="33"/>
      <c r="V224" s="34"/>
      <c r="W224" s="35" t="s">
        <v>87</v>
      </c>
      <c r="X224" s="36"/>
      <c r="Y224" s="36" t="s">
        <v>87</v>
      </c>
      <c r="Z224" s="36"/>
      <c r="AA224" s="37"/>
      <c r="AB224" s="38"/>
      <c r="AC224" s="39"/>
      <c r="AD224" s="40"/>
      <c r="AE224" s="41"/>
      <c r="AF224" s="42"/>
      <c r="AG224" s="42"/>
      <c r="AH224" s="42"/>
      <c r="AI224" s="43"/>
      <c r="AJ224" s="44"/>
      <c r="AK224" s="45"/>
      <c r="AL224" s="45"/>
      <c r="AM224" s="45"/>
      <c r="AN224" s="46"/>
      <c r="AO224" s="47"/>
      <c r="AP224" s="48"/>
      <c r="AQ224" s="48"/>
      <c r="AR224" s="48"/>
      <c r="AS224" s="48"/>
      <c r="AT224" s="49"/>
      <c r="AU224" s="50"/>
      <c r="AV224" s="51"/>
      <c r="AW224" s="51"/>
      <c r="AX224" s="52"/>
      <c r="AY224" s="53"/>
      <c r="AZ224" s="80"/>
      <c r="BA224" s="54"/>
      <c r="BB224" s="55"/>
      <c r="BC224" s="55"/>
      <c r="BD224" s="55"/>
      <c r="BE224" s="55"/>
      <c r="BF224" s="55"/>
      <c r="BG224" s="56"/>
      <c r="BH224" s="57"/>
      <c r="BI224" s="58"/>
      <c r="BJ224" s="58"/>
      <c r="BK224" s="58"/>
      <c r="BL224" s="58"/>
      <c r="BM224" s="58"/>
      <c r="BN224" s="58"/>
      <c r="BO224" s="58"/>
    </row>
    <row r="225" spans="1:67" ht="28.5" customHeight="1" x14ac:dyDescent="0.35">
      <c r="A225" s="66" t="s">
        <v>1189</v>
      </c>
      <c r="B225" s="66">
        <v>14135090818</v>
      </c>
      <c r="C225" s="66" t="s">
        <v>80</v>
      </c>
      <c r="D225" s="66" t="s">
        <v>1190</v>
      </c>
      <c r="E225" s="66" t="s">
        <v>1191</v>
      </c>
      <c r="F225" s="66" t="s">
        <v>83</v>
      </c>
      <c r="G225" s="66" t="str">
        <f>"2533"</f>
        <v>2533</v>
      </c>
      <c r="H225" s="66"/>
      <c r="I225" s="66" t="str">
        <f>"0414487531"</f>
        <v>0414487531</v>
      </c>
      <c r="J225" s="68" t="s">
        <v>1192</v>
      </c>
      <c r="K225" s="68" t="s">
        <v>1193</v>
      </c>
      <c r="L225" s="59"/>
      <c r="M225" s="60"/>
      <c r="N225" s="60"/>
      <c r="O225" s="60"/>
      <c r="P225" s="60"/>
      <c r="Q225" s="61"/>
      <c r="R225" s="32"/>
      <c r="S225" s="33"/>
      <c r="T225" s="33"/>
      <c r="U225" s="33"/>
      <c r="V225" s="34"/>
      <c r="W225" s="35"/>
      <c r="X225" s="36"/>
      <c r="Y225" s="36"/>
      <c r="Z225" s="36"/>
      <c r="AA225" s="37"/>
      <c r="AB225" s="38"/>
      <c r="AC225" s="39"/>
      <c r="AD225" s="40"/>
      <c r="AE225" s="41"/>
      <c r="AF225" s="42"/>
      <c r="AG225" s="42"/>
      <c r="AH225" s="42"/>
      <c r="AI225" s="43"/>
      <c r="AJ225" s="44"/>
      <c r="AK225" s="45"/>
      <c r="AL225" s="45"/>
      <c r="AM225" s="45"/>
      <c r="AN225" s="46"/>
      <c r="AO225" s="47"/>
      <c r="AP225" s="48"/>
      <c r="AQ225" s="48"/>
      <c r="AR225" s="48"/>
      <c r="AS225" s="48"/>
      <c r="AT225" s="49"/>
      <c r="AU225" s="50"/>
      <c r="AV225" s="51"/>
      <c r="AW225" s="51"/>
      <c r="AX225" s="52"/>
      <c r="AY225" s="53"/>
      <c r="AZ225" s="80"/>
      <c r="BA225" s="54"/>
      <c r="BB225" s="55"/>
      <c r="BC225" s="55"/>
      <c r="BD225" s="55"/>
      <c r="BE225" s="55"/>
      <c r="BF225" s="55"/>
      <c r="BG225" s="56"/>
      <c r="BH225" s="57" t="s">
        <v>87</v>
      </c>
      <c r="BI225" s="58" t="s">
        <v>87</v>
      </c>
      <c r="BJ225" s="58" t="s">
        <v>87</v>
      </c>
      <c r="BK225" s="58" t="s">
        <v>87</v>
      </c>
      <c r="BL225" s="58" t="s">
        <v>87</v>
      </c>
      <c r="BM225" s="58" t="s">
        <v>87</v>
      </c>
      <c r="BN225" s="58" t="s">
        <v>87</v>
      </c>
      <c r="BO225" s="58" t="s">
        <v>87</v>
      </c>
    </row>
    <row r="226" spans="1:67" ht="28.5" customHeight="1" x14ac:dyDescent="0.35">
      <c r="A226" s="66" t="s">
        <v>1194</v>
      </c>
      <c r="B226" s="66">
        <v>97615439006</v>
      </c>
      <c r="C226" s="66" t="s">
        <v>80</v>
      </c>
      <c r="D226" s="66" t="s">
        <v>1195</v>
      </c>
      <c r="E226" s="66" t="s">
        <v>342</v>
      </c>
      <c r="F226" s="66" t="s">
        <v>83</v>
      </c>
      <c r="G226" s="66" t="str">
        <f>"2106"</f>
        <v>2106</v>
      </c>
      <c r="H226" s="66" t="str">
        <f>"02 9998 5333"</f>
        <v>02 9998 5333</v>
      </c>
      <c r="I226" s="66" t="str">
        <f>"0415238453"</f>
        <v>0415238453</v>
      </c>
      <c r="J226" s="68" t="s">
        <v>1196</v>
      </c>
      <c r="K226" s="68" t="s">
        <v>1197</v>
      </c>
      <c r="L226" s="59"/>
      <c r="M226" s="60"/>
      <c r="N226" s="60"/>
      <c r="O226" s="60"/>
      <c r="P226" s="60"/>
      <c r="Q226" s="61"/>
      <c r="R226" s="32" t="s">
        <v>87</v>
      </c>
      <c r="S226" s="33" t="s">
        <v>87</v>
      </c>
      <c r="T226" s="33" t="s">
        <v>87</v>
      </c>
      <c r="U226" s="33" t="s">
        <v>87</v>
      </c>
      <c r="V226" s="34" t="s">
        <v>87</v>
      </c>
      <c r="W226" s="35" t="s">
        <v>87</v>
      </c>
      <c r="X226" s="36" t="s">
        <v>87</v>
      </c>
      <c r="Y226" s="36" t="s">
        <v>87</v>
      </c>
      <c r="Z226" s="36"/>
      <c r="AA226" s="37" t="s">
        <v>87</v>
      </c>
      <c r="AB226" s="38"/>
      <c r="AC226" s="39"/>
      <c r="AD226" s="40"/>
      <c r="AE226" s="41"/>
      <c r="AF226" s="42"/>
      <c r="AG226" s="42"/>
      <c r="AH226" s="42"/>
      <c r="AI226" s="43"/>
      <c r="AJ226" s="44"/>
      <c r="AK226" s="45"/>
      <c r="AL226" s="45"/>
      <c r="AM226" s="45"/>
      <c r="AN226" s="46"/>
      <c r="AO226" s="47"/>
      <c r="AP226" s="48"/>
      <c r="AQ226" s="48"/>
      <c r="AR226" s="48"/>
      <c r="AS226" s="48"/>
      <c r="AT226" s="49"/>
      <c r="AU226" s="50" t="s">
        <v>87</v>
      </c>
      <c r="AV226" s="51" t="s">
        <v>87</v>
      </c>
      <c r="AW226" s="51" t="s">
        <v>87</v>
      </c>
      <c r="AX226" s="52" t="s">
        <v>87</v>
      </c>
      <c r="AY226" s="53"/>
      <c r="AZ226" s="80"/>
      <c r="BA226" s="54"/>
      <c r="BB226" s="55"/>
      <c r="BC226" s="55"/>
      <c r="BD226" s="55"/>
      <c r="BE226" s="55"/>
      <c r="BF226" s="55"/>
      <c r="BG226" s="56"/>
      <c r="BH226" s="57"/>
      <c r="BI226" s="58"/>
      <c r="BJ226" s="58"/>
      <c r="BK226" s="58"/>
      <c r="BL226" s="58"/>
      <c r="BM226" s="58"/>
      <c r="BN226" s="58"/>
      <c r="BO226" s="58"/>
    </row>
    <row r="227" spans="1:67" ht="28.5" customHeight="1" x14ac:dyDescent="0.35">
      <c r="A227" s="66" t="s">
        <v>1198</v>
      </c>
      <c r="B227" s="66">
        <v>28150492658</v>
      </c>
      <c r="C227" s="66" t="s">
        <v>80</v>
      </c>
      <c r="D227" s="66" t="s">
        <v>1199</v>
      </c>
      <c r="E227" s="66" t="s">
        <v>1079</v>
      </c>
      <c r="F227" s="66" t="s">
        <v>83</v>
      </c>
      <c r="G227" s="66">
        <v>2000</v>
      </c>
      <c r="H227" s="66" t="s">
        <v>1200</v>
      </c>
      <c r="I227" s="66" t="s">
        <v>1201</v>
      </c>
      <c r="J227" s="68" t="s">
        <v>1202</v>
      </c>
      <c r="K227" s="68" t="s">
        <v>1203</v>
      </c>
      <c r="L227" s="59"/>
      <c r="M227" s="60"/>
      <c r="N227" s="60"/>
      <c r="O227" s="60"/>
      <c r="P227" s="60"/>
      <c r="Q227" s="61"/>
      <c r="R227" s="32"/>
      <c r="S227" s="33"/>
      <c r="T227" s="33"/>
      <c r="U227" s="33"/>
      <c r="V227" s="34"/>
      <c r="W227" s="35"/>
      <c r="X227" s="36"/>
      <c r="Y227" s="36"/>
      <c r="Z227" s="36"/>
      <c r="AA227" s="37"/>
      <c r="AB227" s="38"/>
      <c r="AC227" s="39"/>
      <c r="AD227" s="40"/>
      <c r="AE227" s="41"/>
      <c r="AF227" s="42"/>
      <c r="AG227" s="42"/>
      <c r="AH227" s="42"/>
      <c r="AI227" s="43"/>
      <c r="AJ227" s="44"/>
      <c r="AK227" s="45"/>
      <c r="AL227" s="45"/>
      <c r="AM227" s="45"/>
      <c r="AN227" s="46"/>
      <c r="AO227" s="47"/>
      <c r="AP227" s="48"/>
      <c r="AQ227" s="48"/>
      <c r="AR227" s="48"/>
      <c r="AS227" s="48"/>
      <c r="AT227" s="49"/>
      <c r="AU227" s="50"/>
      <c r="AV227" s="51"/>
      <c r="AW227" s="51"/>
      <c r="AX227" s="52"/>
      <c r="AY227" s="53"/>
      <c r="AZ227" s="80"/>
      <c r="BA227" s="54"/>
      <c r="BB227" s="55"/>
      <c r="BC227" s="55"/>
      <c r="BD227" s="55"/>
      <c r="BE227" s="55"/>
      <c r="BF227" s="55"/>
      <c r="BG227" s="56"/>
      <c r="BH227" s="57"/>
      <c r="BI227" s="58" t="s">
        <v>87</v>
      </c>
      <c r="BJ227" s="58" t="s">
        <v>87</v>
      </c>
      <c r="BK227" s="58" t="s">
        <v>87</v>
      </c>
      <c r="BL227" s="58" t="s">
        <v>87</v>
      </c>
      <c r="BM227" s="58"/>
      <c r="BN227" s="58" t="s">
        <v>87</v>
      </c>
      <c r="BO227" s="58" t="s">
        <v>87</v>
      </c>
    </row>
    <row r="228" spans="1:67" ht="28.5" customHeight="1" x14ac:dyDescent="0.35">
      <c r="A228" s="69" t="s">
        <v>1204</v>
      </c>
      <c r="B228" s="69">
        <v>14166205732</v>
      </c>
      <c r="C228" s="69" t="s">
        <v>80</v>
      </c>
      <c r="D228" s="69" t="s">
        <v>1205</v>
      </c>
      <c r="E228" s="69" t="s">
        <v>132</v>
      </c>
      <c r="F228" s="69" t="s">
        <v>83</v>
      </c>
      <c r="G228" s="69">
        <v>2302</v>
      </c>
      <c r="H228" s="69" t="s">
        <v>1206</v>
      </c>
      <c r="I228" s="71" t="s">
        <v>1207</v>
      </c>
      <c r="J228" s="70" t="s">
        <v>1208</v>
      </c>
      <c r="K228" s="70" t="s">
        <v>1209</v>
      </c>
      <c r="L228" s="59"/>
      <c r="M228" s="60"/>
      <c r="N228" s="60" t="s">
        <v>87</v>
      </c>
      <c r="O228" s="60"/>
      <c r="P228" s="60" t="s">
        <v>87</v>
      </c>
      <c r="Q228" s="61" t="s">
        <v>87</v>
      </c>
      <c r="R228" s="32" t="s">
        <v>87</v>
      </c>
      <c r="S228" s="33" t="s">
        <v>87</v>
      </c>
      <c r="T228" s="33" t="s">
        <v>87</v>
      </c>
      <c r="U228" s="33" t="s">
        <v>87</v>
      </c>
      <c r="V228" s="34" t="s">
        <v>87</v>
      </c>
      <c r="W228" s="35" t="s">
        <v>87</v>
      </c>
      <c r="X228" s="36" t="s">
        <v>87</v>
      </c>
      <c r="Y228" s="36"/>
      <c r="Z228" s="36" t="s">
        <v>87</v>
      </c>
      <c r="AA228" s="37" t="s">
        <v>87</v>
      </c>
      <c r="AB228" s="38"/>
      <c r="AC228" s="39"/>
      <c r="AD228" s="40"/>
      <c r="AE228" s="41"/>
      <c r="AF228" s="42"/>
      <c r="AG228" s="42"/>
      <c r="AH228" s="42"/>
      <c r="AI228" s="43"/>
      <c r="AJ228" s="44"/>
      <c r="AK228" s="45"/>
      <c r="AL228" s="45"/>
      <c r="AM228" s="45"/>
      <c r="AN228" s="46"/>
      <c r="AO228" s="47"/>
      <c r="AP228" s="48"/>
      <c r="AQ228" s="48"/>
      <c r="AR228" s="48"/>
      <c r="AS228" s="48"/>
      <c r="AT228" s="49"/>
      <c r="AU228" s="50"/>
      <c r="AV228" s="51"/>
      <c r="AW228" s="51"/>
      <c r="AX228" s="52"/>
      <c r="AY228" s="53"/>
      <c r="AZ228" s="80"/>
      <c r="BA228" s="54"/>
      <c r="BB228" s="55"/>
      <c r="BC228" s="55"/>
      <c r="BD228" s="55"/>
      <c r="BE228" s="55"/>
      <c r="BF228" s="55"/>
      <c r="BG228" s="56"/>
      <c r="BH228" s="57"/>
      <c r="BI228" s="58"/>
      <c r="BJ228" s="58"/>
      <c r="BK228" s="58"/>
      <c r="BL228" s="58"/>
      <c r="BM228" s="58"/>
      <c r="BN228" s="58"/>
      <c r="BO228" s="58"/>
    </row>
    <row r="229" spans="1:67" ht="28.5" customHeight="1" x14ac:dyDescent="0.35">
      <c r="A229" s="66" t="s">
        <v>1210</v>
      </c>
      <c r="B229" s="66">
        <v>64626442788</v>
      </c>
      <c r="C229" s="66" t="s">
        <v>80</v>
      </c>
      <c r="D229" s="66" t="s">
        <v>1211</v>
      </c>
      <c r="E229" s="66" t="s">
        <v>132</v>
      </c>
      <c r="F229" s="66" t="s">
        <v>83</v>
      </c>
      <c r="G229" s="66" t="str">
        <f>"2549"</f>
        <v>2549</v>
      </c>
      <c r="H229" s="66" t="str">
        <f>"02 8091 4124"</f>
        <v>02 8091 4124</v>
      </c>
      <c r="I229" s="66" t="str">
        <f>"0428243539"</f>
        <v>0428243539</v>
      </c>
      <c r="J229" s="68" t="s">
        <v>1212</v>
      </c>
      <c r="K229" s="68" t="s">
        <v>1213</v>
      </c>
      <c r="L229" s="59"/>
      <c r="M229" s="60"/>
      <c r="N229" s="60"/>
      <c r="O229" s="60"/>
      <c r="P229" s="60"/>
      <c r="Q229" s="61"/>
      <c r="R229" s="32" t="s">
        <v>87</v>
      </c>
      <c r="S229" s="33" t="s">
        <v>87</v>
      </c>
      <c r="T229" s="33" t="s">
        <v>87</v>
      </c>
      <c r="U229" s="33" t="s">
        <v>87</v>
      </c>
      <c r="V229" s="34" t="s">
        <v>87</v>
      </c>
      <c r="W229" s="35" t="s">
        <v>87</v>
      </c>
      <c r="X229" s="36" t="s">
        <v>87</v>
      </c>
      <c r="Y229" s="36"/>
      <c r="Z229" s="36" t="s">
        <v>87</v>
      </c>
      <c r="AA229" s="37" t="s">
        <v>87</v>
      </c>
      <c r="AB229" s="38"/>
      <c r="AC229" s="39"/>
      <c r="AD229" s="40"/>
      <c r="AE229" s="41"/>
      <c r="AF229" s="42"/>
      <c r="AG229" s="42"/>
      <c r="AH229" s="42"/>
      <c r="AI229" s="43"/>
      <c r="AJ229" s="44"/>
      <c r="AK229" s="45"/>
      <c r="AL229" s="45"/>
      <c r="AM229" s="45"/>
      <c r="AN229" s="46"/>
      <c r="AO229" s="47"/>
      <c r="AP229" s="48"/>
      <c r="AQ229" s="48"/>
      <c r="AR229" s="48"/>
      <c r="AS229" s="48"/>
      <c r="AT229" s="49"/>
      <c r="AU229" s="50" t="s">
        <v>87</v>
      </c>
      <c r="AV229" s="51" t="s">
        <v>87</v>
      </c>
      <c r="AW229" s="51" t="s">
        <v>87</v>
      </c>
      <c r="AX229" s="52" t="s">
        <v>87</v>
      </c>
      <c r="AY229" s="53"/>
      <c r="AZ229" s="80"/>
      <c r="BA229" s="54"/>
      <c r="BB229" s="55"/>
      <c r="BC229" s="55"/>
      <c r="BD229" s="55"/>
      <c r="BE229" s="55"/>
      <c r="BF229" s="55"/>
      <c r="BG229" s="56"/>
      <c r="BH229" s="57"/>
      <c r="BI229" s="58"/>
      <c r="BJ229" s="58"/>
      <c r="BK229" s="58"/>
      <c r="BL229" s="58"/>
      <c r="BM229" s="58"/>
      <c r="BN229" s="58"/>
      <c r="BO229" s="58"/>
    </row>
    <row r="230" spans="1:67" ht="28.5" customHeight="1" x14ac:dyDescent="0.35">
      <c r="A230" s="66" t="s">
        <v>1214</v>
      </c>
      <c r="B230" s="66">
        <v>53071461875</v>
      </c>
      <c r="C230" s="66" t="s">
        <v>80</v>
      </c>
      <c r="D230" s="66" t="s">
        <v>1215</v>
      </c>
      <c r="E230" s="66" t="s">
        <v>132</v>
      </c>
      <c r="F230" s="66" t="s">
        <v>83</v>
      </c>
      <c r="G230" s="66" t="str">
        <f>"2009"</f>
        <v>2009</v>
      </c>
      <c r="H230" s="66"/>
      <c r="I230" s="66" t="str">
        <f>"0478075006"</f>
        <v>0478075006</v>
      </c>
      <c r="J230" s="68" t="s">
        <v>1216</v>
      </c>
      <c r="K230" s="68" t="s">
        <v>1217</v>
      </c>
      <c r="L230" s="59"/>
      <c r="M230" s="60"/>
      <c r="N230" s="60"/>
      <c r="O230" s="60"/>
      <c r="P230" s="60"/>
      <c r="Q230" s="61"/>
      <c r="R230" s="32"/>
      <c r="S230" s="33"/>
      <c r="T230" s="33"/>
      <c r="U230" s="33"/>
      <c r="V230" s="34"/>
      <c r="W230" s="35"/>
      <c r="X230" s="36"/>
      <c r="Y230" s="36"/>
      <c r="Z230" s="36"/>
      <c r="AA230" s="37"/>
      <c r="AB230" s="38"/>
      <c r="AC230" s="39"/>
      <c r="AD230" s="40"/>
      <c r="AE230" s="41"/>
      <c r="AF230" s="42"/>
      <c r="AG230" s="42"/>
      <c r="AH230" s="42"/>
      <c r="AI230" s="43"/>
      <c r="AJ230" s="44"/>
      <c r="AK230" s="45"/>
      <c r="AL230" s="45"/>
      <c r="AM230" s="45"/>
      <c r="AN230" s="46"/>
      <c r="AO230" s="47"/>
      <c r="AP230" s="48"/>
      <c r="AQ230" s="48"/>
      <c r="AR230" s="48"/>
      <c r="AS230" s="48"/>
      <c r="AT230" s="49"/>
      <c r="AU230" s="50" t="s">
        <v>87</v>
      </c>
      <c r="AV230" s="51" t="s">
        <v>87</v>
      </c>
      <c r="AW230" s="51" t="s">
        <v>87</v>
      </c>
      <c r="AX230" s="52" t="s">
        <v>87</v>
      </c>
      <c r="AY230" s="53"/>
      <c r="AZ230" s="80"/>
      <c r="BA230" s="54"/>
      <c r="BB230" s="55"/>
      <c r="BC230" s="55"/>
      <c r="BD230" s="55"/>
      <c r="BE230" s="55"/>
      <c r="BF230" s="55"/>
      <c r="BG230" s="56"/>
      <c r="BH230" s="57" t="s">
        <v>87</v>
      </c>
      <c r="BI230" s="58" t="s">
        <v>87</v>
      </c>
      <c r="BJ230" s="58" t="s">
        <v>87</v>
      </c>
      <c r="BK230" s="58" t="s">
        <v>87</v>
      </c>
      <c r="BL230" s="58" t="s">
        <v>87</v>
      </c>
      <c r="BM230" s="58" t="s">
        <v>87</v>
      </c>
      <c r="BN230" s="58" t="s">
        <v>87</v>
      </c>
      <c r="BO230" s="58" t="s">
        <v>87</v>
      </c>
    </row>
    <row r="231" spans="1:67" ht="28.5" customHeight="1" x14ac:dyDescent="0.35">
      <c r="A231" s="66" t="s">
        <v>1218</v>
      </c>
      <c r="B231" s="66">
        <v>66159158657</v>
      </c>
      <c r="C231" s="66" t="s">
        <v>80</v>
      </c>
      <c r="D231" s="66" t="s">
        <v>1219</v>
      </c>
      <c r="E231" s="66" t="s">
        <v>1220</v>
      </c>
      <c r="F231" s="66" t="s">
        <v>83</v>
      </c>
      <c r="G231" s="66" t="str">
        <f>"2011"</f>
        <v>2011</v>
      </c>
      <c r="H231" s="66"/>
      <c r="I231" s="66" t="str">
        <f>"0467441841"</f>
        <v>0467441841</v>
      </c>
      <c r="J231" s="68" t="s">
        <v>1221</v>
      </c>
      <c r="K231" s="68" t="s">
        <v>1222</v>
      </c>
      <c r="L231" s="59" t="s">
        <v>87</v>
      </c>
      <c r="M231" s="60"/>
      <c r="N231" s="60" t="s">
        <v>87</v>
      </c>
      <c r="O231" s="60" t="s">
        <v>87</v>
      </c>
      <c r="P231" s="60" t="s">
        <v>87</v>
      </c>
      <c r="Q231" s="61" t="s">
        <v>87</v>
      </c>
      <c r="R231" s="32" t="s">
        <v>87</v>
      </c>
      <c r="S231" s="33" t="s">
        <v>87</v>
      </c>
      <c r="T231" s="33"/>
      <c r="U231" s="33"/>
      <c r="V231" s="34" t="s">
        <v>87</v>
      </c>
      <c r="W231" s="35"/>
      <c r="X231" s="36"/>
      <c r="Y231" s="36"/>
      <c r="Z231" s="36"/>
      <c r="AA231" s="37"/>
      <c r="AB231" s="38"/>
      <c r="AC231" s="39"/>
      <c r="AD231" s="40"/>
      <c r="AE231" s="41"/>
      <c r="AF231" s="42"/>
      <c r="AG231" s="42"/>
      <c r="AH231" s="42"/>
      <c r="AI231" s="43"/>
      <c r="AJ231" s="44"/>
      <c r="AK231" s="45"/>
      <c r="AL231" s="45"/>
      <c r="AM231" s="45"/>
      <c r="AN231" s="46"/>
      <c r="AO231" s="47"/>
      <c r="AP231" s="48"/>
      <c r="AQ231" s="48"/>
      <c r="AR231" s="48"/>
      <c r="AS231" s="48"/>
      <c r="AT231" s="49"/>
      <c r="AU231" s="50"/>
      <c r="AV231" s="51"/>
      <c r="AW231" s="51"/>
      <c r="AX231" s="52"/>
      <c r="AY231" s="53"/>
      <c r="AZ231" s="80"/>
      <c r="BA231" s="54"/>
      <c r="BB231" s="55"/>
      <c r="BC231" s="55"/>
      <c r="BD231" s="55"/>
      <c r="BE231" s="55"/>
      <c r="BF231" s="55"/>
      <c r="BG231" s="56"/>
      <c r="BH231" s="57"/>
      <c r="BI231" s="58"/>
      <c r="BJ231" s="58"/>
      <c r="BK231" s="58"/>
      <c r="BL231" s="58"/>
      <c r="BM231" s="58"/>
      <c r="BN231" s="58"/>
      <c r="BO231" s="58"/>
    </row>
    <row r="232" spans="1:67" ht="28.5" customHeight="1" x14ac:dyDescent="0.35">
      <c r="A232" s="66" t="s">
        <v>1223</v>
      </c>
      <c r="B232" s="66">
        <v>32162123391</v>
      </c>
      <c r="C232" s="66" t="s">
        <v>80</v>
      </c>
      <c r="D232" s="66" t="s">
        <v>1224</v>
      </c>
      <c r="E232" s="66" t="s">
        <v>90</v>
      </c>
      <c r="F232" s="66" t="s">
        <v>83</v>
      </c>
      <c r="G232" s="66" t="str">
        <f>"2065"</f>
        <v>2065</v>
      </c>
      <c r="H232" s="66" t="str">
        <f>"02 9438 5983"</f>
        <v>02 9438 5983</v>
      </c>
      <c r="I232" s="66" t="str">
        <f>"0424509219"</f>
        <v>0424509219</v>
      </c>
      <c r="J232" s="68" t="s">
        <v>1225</v>
      </c>
      <c r="K232" s="68" t="s">
        <v>1226</v>
      </c>
      <c r="L232" s="59"/>
      <c r="M232" s="60"/>
      <c r="N232" s="60"/>
      <c r="O232" s="60"/>
      <c r="P232" s="60"/>
      <c r="Q232" s="61"/>
      <c r="R232" s="32" t="s">
        <v>87</v>
      </c>
      <c r="S232" s="33" t="s">
        <v>87</v>
      </c>
      <c r="T232" s="33" t="s">
        <v>87</v>
      </c>
      <c r="U232" s="33" t="s">
        <v>87</v>
      </c>
      <c r="V232" s="34" t="s">
        <v>87</v>
      </c>
      <c r="W232" s="35" t="s">
        <v>87</v>
      </c>
      <c r="X232" s="36" t="s">
        <v>87</v>
      </c>
      <c r="Y232" s="36" t="s">
        <v>87</v>
      </c>
      <c r="Z232" s="36" t="s">
        <v>87</v>
      </c>
      <c r="AA232" s="37" t="s">
        <v>87</v>
      </c>
      <c r="AB232" s="38"/>
      <c r="AC232" s="39"/>
      <c r="AD232" s="40"/>
      <c r="AE232" s="41"/>
      <c r="AF232" s="42"/>
      <c r="AG232" s="42"/>
      <c r="AH232" s="42"/>
      <c r="AI232" s="43"/>
      <c r="AJ232" s="44"/>
      <c r="AK232" s="45"/>
      <c r="AL232" s="45"/>
      <c r="AM232" s="45"/>
      <c r="AN232" s="46"/>
      <c r="AO232" s="47"/>
      <c r="AP232" s="48"/>
      <c r="AQ232" s="48"/>
      <c r="AR232" s="48"/>
      <c r="AS232" s="48"/>
      <c r="AT232" s="49"/>
      <c r="AU232" s="50" t="s">
        <v>87</v>
      </c>
      <c r="AV232" s="51" t="s">
        <v>87</v>
      </c>
      <c r="AW232" s="51" t="s">
        <v>87</v>
      </c>
      <c r="AX232" s="52" t="s">
        <v>87</v>
      </c>
      <c r="AY232" s="53"/>
      <c r="AZ232" s="80"/>
      <c r="BA232" s="54"/>
      <c r="BB232" s="55"/>
      <c r="BC232" s="55"/>
      <c r="BD232" s="55"/>
      <c r="BE232" s="55"/>
      <c r="BF232" s="55"/>
      <c r="BG232" s="56"/>
      <c r="BH232" s="57"/>
      <c r="BI232" s="58"/>
      <c r="BJ232" s="58"/>
      <c r="BK232" s="58"/>
      <c r="BL232" s="58"/>
      <c r="BM232" s="58"/>
      <c r="BN232" s="58"/>
      <c r="BO232" s="58"/>
    </row>
    <row r="233" spans="1:67" ht="28.5" customHeight="1" x14ac:dyDescent="0.35">
      <c r="A233" s="66" t="s">
        <v>1227</v>
      </c>
      <c r="B233" s="66">
        <v>68607527686</v>
      </c>
      <c r="C233" s="66" t="s">
        <v>80</v>
      </c>
      <c r="D233" s="66" t="s">
        <v>1228</v>
      </c>
      <c r="E233" s="66" t="s">
        <v>90</v>
      </c>
      <c r="F233" s="66" t="s">
        <v>379</v>
      </c>
      <c r="G233" s="66" t="str">
        <f>"3168"</f>
        <v>3168</v>
      </c>
      <c r="H233" s="66" t="str">
        <f>"03 9585 2299"</f>
        <v>03 9585 2299</v>
      </c>
      <c r="I233" s="66" t="str">
        <f>"0407112646"</f>
        <v>0407112646</v>
      </c>
      <c r="J233" s="68" t="s">
        <v>1229</v>
      </c>
      <c r="K233" s="68" t="s">
        <v>1230</v>
      </c>
      <c r="L233" s="59"/>
      <c r="M233" s="60"/>
      <c r="N233" s="60"/>
      <c r="O233" s="60"/>
      <c r="P233" s="60"/>
      <c r="Q233" s="61"/>
      <c r="R233" s="32"/>
      <c r="S233" s="33"/>
      <c r="T233" s="33"/>
      <c r="U233" s="33"/>
      <c r="V233" s="34"/>
      <c r="W233" s="35"/>
      <c r="X233" s="36"/>
      <c r="Y233" s="36"/>
      <c r="Z233" s="36"/>
      <c r="AA233" s="37"/>
      <c r="AB233" s="38"/>
      <c r="AC233" s="39"/>
      <c r="AD233" s="40"/>
      <c r="AE233" s="41"/>
      <c r="AF233" s="42"/>
      <c r="AG233" s="42"/>
      <c r="AH233" s="42"/>
      <c r="AI233" s="43"/>
      <c r="AJ233" s="44"/>
      <c r="AK233" s="45"/>
      <c r="AL233" s="45"/>
      <c r="AM233" s="45"/>
      <c r="AN233" s="46"/>
      <c r="AO233" s="47"/>
      <c r="AP233" s="48"/>
      <c r="AQ233" s="48"/>
      <c r="AR233" s="48"/>
      <c r="AS233" s="48"/>
      <c r="AT233" s="49"/>
      <c r="AU233" s="50" t="s">
        <v>87</v>
      </c>
      <c r="AV233" s="51" t="s">
        <v>87</v>
      </c>
      <c r="AW233" s="51" t="s">
        <v>87</v>
      </c>
      <c r="AX233" s="52" t="s">
        <v>87</v>
      </c>
      <c r="AY233" s="53" t="s">
        <v>87</v>
      </c>
      <c r="AZ233" s="80" t="s">
        <v>87</v>
      </c>
      <c r="BA233" s="54"/>
      <c r="BB233" s="55"/>
      <c r="BC233" s="55"/>
      <c r="BD233" s="55"/>
      <c r="BE233" s="55"/>
      <c r="BF233" s="55"/>
      <c r="BG233" s="56"/>
      <c r="BH233" s="57"/>
      <c r="BI233" s="58"/>
      <c r="BJ233" s="58"/>
      <c r="BK233" s="58"/>
      <c r="BL233" s="58"/>
      <c r="BM233" s="58"/>
      <c r="BN233" s="58"/>
      <c r="BO233" s="58"/>
    </row>
    <row r="234" spans="1:67" ht="28.5" customHeight="1" x14ac:dyDescent="0.35">
      <c r="A234" s="66" t="s">
        <v>1231</v>
      </c>
      <c r="B234" s="66">
        <v>58027166475</v>
      </c>
      <c r="C234" s="66" t="s">
        <v>80</v>
      </c>
      <c r="D234" s="66" t="s">
        <v>1232</v>
      </c>
      <c r="E234" s="66" t="s">
        <v>152</v>
      </c>
      <c r="F234" s="66" t="s">
        <v>379</v>
      </c>
      <c r="G234" s="66">
        <v>3132</v>
      </c>
      <c r="H234" s="67" t="s">
        <v>1233</v>
      </c>
      <c r="I234" s="67" t="s">
        <v>1234</v>
      </c>
      <c r="J234" s="68" t="s">
        <v>1235</v>
      </c>
      <c r="K234" s="68" t="s">
        <v>1236</v>
      </c>
      <c r="L234" s="59"/>
      <c r="M234" s="60"/>
      <c r="N234" s="60"/>
      <c r="O234" s="60"/>
      <c r="P234" s="60"/>
      <c r="Q234" s="61"/>
      <c r="R234" s="32"/>
      <c r="S234" s="33"/>
      <c r="T234" s="33"/>
      <c r="U234" s="33"/>
      <c r="V234" s="34"/>
      <c r="W234" s="35"/>
      <c r="X234" s="36"/>
      <c r="Y234" s="36"/>
      <c r="Z234" s="36"/>
      <c r="AA234" s="37"/>
      <c r="AB234" s="38"/>
      <c r="AC234" s="39"/>
      <c r="AD234" s="40"/>
      <c r="AE234" s="41"/>
      <c r="AF234" s="42"/>
      <c r="AG234" s="42"/>
      <c r="AH234" s="42"/>
      <c r="AI234" s="43"/>
      <c r="AJ234" s="44"/>
      <c r="AK234" s="45"/>
      <c r="AL234" s="45"/>
      <c r="AM234" s="45"/>
      <c r="AN234" s="46"/>
      <c r="AO234" s="47" t="s">
        <v>87</v>
      </c>
      <c r="AP234" s="48" t="s">
        <v>87</v>
      </c>
      <c r="AQ234" s="48" t="s">
        <v>87</v>
      </c>
      <c r="AR234" s="48" t="s">
        <v>87</v>
      </c>
      <c r="AS234" s="48" t="s">
        <v>87</v>
      </c>
      <c r="AT234" s="49" t="s">
        <v>87</v>
      </c>
      <c r="AU234" s="50"/>
      <c r="AV234" s="51"/>
      <c r="AW234" s="51"/>
      <c r="AX234" s="52"/>
      <c r="AY234" s="53"/>
      <c r="AZ234" s="80"/>
      <c r="BA234" s="54"/>
      <c r="BB234" s="55"/>
      <c r="BC234" s="55"/>
      <c r="BD234" s="55"/>
      <c r="BE234" s="55"/>
      <c r="BF234" s="55"/>
      <c r="BG234" s="56"/>
      <c r="BH234" s="57"/>
      <c r="BI234" s="58"/>
      <c r="BJ234" s="58"/>
      <c r="BK234" s="58"/>
      <c r="BL234" s="58"/>
      <c r="BM234" s="58"/>
      <c r="BN234" s="58"/>
      <c r="BO234" s="58"/>
    </row>
    <row r="235" spans="1:67" ht="28.5" customHeight="1" x14ac:dyDescent="0.35">
      <c r="A235" s="66" t="s">
        <v>1237</v>
      </c>
      <c r="B235" s="66">
        <v>13601560909</v>
      </c>
      <c r="C235" s="66" t="s">
        <v>80</v>
      </c>
      <c r="D235" s="66" t="s">
        <v>1238</v>
      </c>
      <c r="E235" s="66" t="s">
        <v>132</v>
      </c>
      <c r="F235" s="66" t="s">
        <v>83</v>
      </c>
      <c r="G235" s="66">
        <v>2010</v>
      </c>
      <c r="H235" s="67"/>
      <c r="I235" s="67" t="s">
        <v>1239</v>
      </c>
      <c r="J235" s="68" t="s">
        <v>1240</v>
      </c>
      <c r="K235" s="68" t="s">
        <v>1241</v>
      </c>
      <c r="L235" s="59"/>
      <c r="M235" s="60"/>
      <c r="N235" s="60"/>
      <c r="O235" s="60"/>
      <c r="P235" s="60"/>
      <c r="Q235" s="61"/>
      <c r="R235" s="32"/>
      <c r="S235" s="33"/>
      <c r="T235" s="33"/>
      <c r="U235" s="33"/>
      <c r="V235" s="34"/>
      <c r="W235" s="35" t="s">
        <v>87</v>
      </c>
      <c r="X235" s="36" t="s">
        <v>87</v>
      </c>
      <c r="Y235" s="36" t="s">
        <v>87</v>
      </c>
      <c r="Z235" s="36" t="s">
        <v>87</v>
      </c>
      <c r="AA235" s="37" t="s">
        <v>87</v>
      </c>
      <c r="AB235" s="38"/>
      <c r="AC235" s="39"/>
      <c r="AD235" s="40"/>
      <c r="AE235" s="41"/>
      <c r="AF235" s="42"/>
      <c r="AG235" s="42"/>
      <c r="AH235" s="42"/>
      <c r="AI235" s="43"/>
      <c r="AJ235" s="44"/>
      <c r="AK235" s="45"/>
      <c r="AL235" s="45"/>
      <c r="AM235" s="45"/>
      <c r="AN235" s="46"/>
      <c r="AO235" s="47"/>
      <c r="AP235" s="48"/>
      <c r="AQ235" s="48"/>
      <c r="AR235" s="48"/>
      <c r="AS235" s="48"/>
      <c r="AT235" s="49"/>
      <c r="AU235" s="50" t="s">
        <v>87</v>
      </c>
      <c r="AV235" s="51" t="s">
        <v>87</v>
      </c>
      <c r="AW235" s="51" t="s">
        <v>87</v>
      </c>
      <c r="AX235" s="52" t="s">
        <v>87</v>
      </c>
      <c r="AY235" s="53"/>
      <c r="AZ235" s="80"/>
      <c r="BA235" s="54"/>
      <c r="BB235" s="55"/>
      <c r="BC235" s="55"/>
      <c r="BD235" s="55"/>
      <c r="BE235" s="55"/>
      <c r="BF235" s="55"/>
      <c r="BG235" s="56"/>
      <c r="BH235" s="57" t="s">
        <v>87</v>
      </c>
      <c r="BI235" s="58" t="s">
        <v>87</v>
      </c>
      <c r="BJ235" s="58" t="s">
        <v>87</v>
      </c>
      <c r="BK235" s="58" t="s">
        <v>87</v>
      </c>
      <c r="BL235" s="58" t="s">
        <v>87</v>
      </c>
      <c r="BM235" s="58" t="s">
        <v>87</v>
      </c>
      <c r="BN235" s="58" t="s">
        <v>87</v>
      </c>
      <c r="BO235" s="58" t="s">
        <v>87</v>
      </c>
    </row>
    <row r="236" spans="1:67" ht="28.5" customHeight="1" x14ac:dyDescent="0.35">
      <c r="A236" s="66" t="s">
        <v>1242</v>
      </c>
      <c r="B236" s="66">
        <v>35008417874</v>
      </c>
      <c r="C236" s="66" t="s">
        <v>80</v>
      </c>
      <c r="D236" s="66" t="s">
        <v>1243</v>
      </c>
      <c r="E236" s="66" t="s">
        <v>1244</v>
      </c>
      <c r="F236" s="66" t="s">
        <v>83</v>
      </c>
      <c r="G236" s="66" t="str">
        <f>"2113"</f>
        <v>2113</v>
      </c>
      <c r="H236" s="66" t="str">
        <f>"02 8873 7000"</f>
        <v>02 8873 7000</v>
      </c>
      <c r="I236" s="66" t="str">
        <f>"0419305134"</f>
        <v>0419305134</v>
      </c>
      <c r="J236" s="68" t="s">
        <v>1245</v>
      </c>
      <c r="K236" s="68" t="s">
        <v>1246</v>
      </c>
      <c r="L236" s="59" t="s">
        <v>87</v>
      </c>
      <c r="M236" s="60" t="s">
        <v>87</v>
      </c>
      <c r="N236" s="60" t="s">
        <v>87</v>
      </c>
      <c r="O236" s="60" t="s">
        <v>87</v>
      </c>
      <c r="P236" s="60" t="s">
        <v>87</v>
      </c>
      <c r="Q236" s="61" t="s">
        <v>87</v>
      </c>
      <c r="R236" s="32"/>
      <c r="S236" s="33"/>
      <c r="T236" s="33"/>
      <c r="U236" s="33"/>
      <c r="V236" s="34"/>
      <c r="W236" s="35"/>
      <c r="X236" s="36"/>
      <c r="Y236" s="36"/>
      <c r="Z236" s="36"/>
      <c r="AA236" s="37"/>
      <c r="AB236" s="38"/>
      <c r="AC236" s="39"/>
      <c r="AD236" s="40"/>
      <c r="AE236" s="41"/>
      <c r="AF236" s="42"/>
      <c r="AG236" s="42"/>
      <c r="AH236" s="42"/>
      <c r="AI236" s="43"/>
      <c r="AJ236" s="44"/>
      <c r="AK236" s="45"/>
      <c r="AL236" s="45"/>
      <c r="AM236" s="45"/>
      <c r="AN236" s="46"/>
      <c r="AO236" s="47"/>
      <c r="AP236" s="48"/>
      <c r="AQ236" s="48"/>
      <c r="AR236" s="48"/>
      <c r="AS236" s="48"/>
      <c r="AT236" s="49"/>
      <c r="AU236" s="50"/>
      <c r="AV236" s="51"/>
      <c r="AW236" s="51"/>
      <c r="AX236" s="52"/>
      <c r="AY236" s="53"/>
      <c r="AZ236" s="80"/>
      <c r="BA236" s="54"/>
      <c r="BB236" s="55"/>
      <c r="BC236" s="55"/>
      <c r="BD236" s="55"/>
      <c r="BE236" s="55"/>
      <c r="BF236" s="55"/>
      <c r="BG236" s="56"/>
      <c r="BH236" s="57"/>
      <c r="BI236" s="58"/>
      <c r="BJ236" s="58"/>
      <c r="BK236" s="58"/>
      <c r="BL236" s="58"/>
      <c r="BM236" s="58"/>
      <c r="BN236" s="58"/>
      <c r="BO236" s="58"/>
    </row>
    <row r="237" spans="1:67" ht="28.5" customHeight="1" x14ac:dyDescent="0.35">
      <c r="A237" s="66" t="s">
        <v>1247</v>
      </c>
      <c r="B237" s="66">
        <v>36102213794</v>
      </c>
      <c r="C237" s="66" t="s">
        <v>80</v>
      </c>
      <c r="D237" s="66" t="s">
        <v>1248</v>
      </c>
      <c r="E237" s="66" t="s">
        <v>1249</v>
      </c>
      <c r="F237" s="66" t="s">
        <v>83</v>
      </c>
      <c r="G237" s="66">
        <v>2000</v>
      </c>
      <c r="H237" s="66"/>
      <c r="I237" s="67" t="s">
        <v>1250</v>
      </c>
      <c r="J237" s="68" t="s">
        <v>1251</v>
      </c>
      <c r="K237" s="68" t="s">
        <v>1252</v>
      </c>
      <c r="L237" s="59"/>
      <c r="M237" s="60"/>
      <c r="N237" s="60"/>
      <c r="O237" s="60"/>
      <c r="P237" s="60"/>
      <c r="Q237" s="61"/>
      <c r="R237" s="32"/>
      <c r="S237" s="33"/>
      <c r="T237" s="33"/>
      <c r="U237" s="33"/>
      <c r="V237" s="34"/>
      <c r="W237" s="36" t="s">
        <v>87</v>
      </c>
      <c r="X237" s="36" t="s">
        <v>87</v>
      </c>
      <c r="Y237" s="36" t="s">
        <v>87</v>
      </c>
      <c r="Z237" s="36"/>
      <c r="AA237" s="37" t="s">
        <v>87</v>
      </c>
      <c r="AB237" s="38"/>
      <c r="AC237" s="39"/>
      <c r="AD237" s="40"/>
      <c r="AE237" s="41"/>
      <c r="AF237" s="42"/>
      <c r="AG237" s="42"/>
      <c r="AH237" s="42"/>
      <c r="AI237" s="43"/>
      <c r="AJ237" s="44"/>
      <c r="AK237" s="45"/>
      <c r="AL237" s="45"/>
      <c r="AM237" s="45"/>
      <c r="AN237" s="46"/>
      <c r="AO237" s="47"/>
      <c r="AP237" s="48"/>
      <c r="AQ237" s="48"/>
      <c r="AR237" s="48"/>
      <c r="AS237" s="48"/>
      <c r="AT237" s="49"/>
      <c r="AU237" s="50"/>
      <c r="AV237" s="51"/>
      <c r="AW237" s="51"/>
      <c r="AX237" s="52"/>
      <c r="AY237" s="53"/>
      <c r="AZ237" s="80"/>
      <c r="BA237" s="54"/>
      <c r="BB237" s="55"/>
      <c r="BC237" s="55"/>
      <c r="BD237" s="55"/>
      <c r="BE237" s="55"/>
      <c r="BF237" s="55"/>
      <c r="BG237" s="56"/>
      <c r="BH237" s="57"/>
      <c r="BI237" s="58"/>
      <c r="BJ237" s="58"/>
      <c r="BK237" s="58"/>
      <c r="BL237" s="58"/>
      <c r="BM237" s="58"/>
      <c r="BN237" s="58"/>
      <c r="BO237" s="58"/>
    </row>
    <row r="238" spans="1:67" ht="28.5" customHeight="1" x14ac:dyDescent="0.35">
      <c r="A238" s="66" t="s">
        <v>1253</v>
      </c>
      <c r="B238" s="66">
        <v>99618397658</v>
      </c>
      <c r="C238" s="66" t="s">
        <v>80</v>
      </c>
      <c r="D238" s="66" t="s">
        <v>1254</v>
      </c>
      <c r="E238" s="66" t="s">
        <v>528</v>
      </c>
      <c r="F238" s="66" t="s">
        <v>83</v>
      </c>
      <c r="G238" s="66" t="str">
        <f>"2010"</f>
        <v>2010</v>
      </c>
      <c r="H238" s="81" t="s">
        <v>1255</v>
      </c>
      <c r="I238" s="67" t="s">
        <v>1256</v>
      </c>
      <c r="J238" s="68" t="s">
        <v>1257</v>
      </c>
      <c r="K238" s="68" t="s">
        <v>1258</v>
      </c>
      <c r="L238" s="59"/>
      <c r="M238" s="60"/>
      <c r="N238" s="60"/>
      <c r="O238" s="60"/>
      <c r="P238" s="60"/>
      <c r="Q238" s="61"/>
      <c r="R238" s="32" t="s">
        <v>87</v>
      </c>
      <c r="S238" s="33" t="s">
        <v>87</v>
      </c>
      <c r="T238" s="33" t="s">
        <v>87</v>
      </c>
      <c r="U238" s="33" t="s">
        <v>87</v>
      </c>
      <c r="V238" s="34" t="s">
        <v>87</v>
      </c>
      <c r="W238" s="35" t="s">
        <v>87</v>
      </c>
      <c r="X238" s="36" t="s">
        <v>87</v>
      </c>
      <c r="Y238" s="36"/>
      <c r="Z238" s="36"/>
      <c r="AA238" s="37"/>
      <c r="AB238" s="38"/>
      <c r="AC238" s="39"/>
      <c r="AD238" s="40"/>
      <c r="AE238" s="41"/>
      <c r="AF238" s="42"/>
      <c r="AG238" s="42"/>
      <c r="AH238" s="42"/>
      <c r="AI238" s="43"/>
      <c r="AJ238" s="44"/>
      <c r="AK238" s="45"/>
      <c r="AL238" s="45"/>
      <c r="AM238" s="45"/>
      <c r="AN238" s="46"/>
      <c r="AO238" s="47"/>
      <c r="AP238" s="48"/>
      <c r="AQ238" s="48"/>
      <c r="AR238" s="48"/>
      <c r="AS238" s="48"/>
      <c r="AT238" s="49"/>
      <c r="AU238" s="50"/>
      <c r="AV238" s="51"/>
      <c r="AW238" s="51"/>
      <c r="AX238" s="52"/>
      <c r="AY238" s="53"/>
      <c r="AZ238" s="80"/>
      <c r="BA238" s="54"/>
      <c r="BB238" s="55"/>
      <c r="BC238" s="55"/>
      <c r="BD238" s="55"/>
      <c r="BE238" s="55"/>
      <c r="BF238" s="55"/>
      <c r="BG238" s="56"/>
      <c r="BH238" s="57"/>
      <c r="BI238" s="58"/>
      <c r="BJ238" s="58"/>
      <c r="BK238" s="58"/>
      <c r="BL238" s="58"/>
      <c r="BM238" s="58"/>
      <c r="BN238" s="58"/>
      <c r="BO238" s="58"/>
    </row>
    <row r="239" spans="1:67" ht="28.5" customHeight="1" x14ac:dyDescent="0.35">
      <c r="A239" s="66" t="s">
        <v>1259</v>
      </c>
      <c r="B239" s="66">
        <v>31168055918</v>
      </c>
      <c r="C239" s="66" t="s">
        <v>80</v>
      </c>
      <c r="D239" s="66" t="s">
        <v>1260</v>
      </c>
      <c r="E239" s="66" t="s">
        <v>132</v>
      </c>
      <c r="F239" s="66" t="s">
        <v>83</v>
      </c>
      <c r="G239" s="66" t="str">
        <f>"2000"</f>
        <v>2000</v>
      </c>
      <c r="H239" s="66" t="str">
        <f>"1300 780 100"</f>
        <v>1300 780 100</v>
      </c>
      <c r="I239" s="66" t="str">
        <f>"0405113861"</f>
        <v>0405113861</v>
      </c>
      <c r="J239" s="68" t="s">
        <v>1261</v>
      </c>
      <c r="K239" s="68" t="s">
        <v>1262</v>
      </c>
      <c r="L239" s="59"/>
      <c r="M239" s="60"/>
      <c r="N239" s="60"/>
      <c r="O239" s="60"/>
      <c r="P239" s="60"/>
      <c r="Q239" s="61"/>
      <c r="R239" s="32" t="s">
        <v>87</v>
      </c>
      <c r="S239" s="33" t="s">
        <v>87</v>
      </c>
      <c r="T239" s="33" t="s">
        <v>87</v>
      </c>
      <c r="U239" s="33"/>
      <c r="V239" s="34"/>
      <c r="W239" s="35" t="s">
        <v>87</v>
      </c>
      <c r="X239" s="36" t="s">
        <v>87</v>
      </c>
      <c r="Y239" s="36" t="s">
        <v>87</v>
      </c>
      <c r="Z239" s="36"/>
      <c r="AA239" s="37" t="s">
        <v>87</v>
      </c>
      <c r="AB239" s="38"/>
      <c r="AC239" s="39"/>
      <c r="AD239" s="40"/>
      <c r="AE239" s="41"/>
      <c r="AF239" s="42"/>
      <c r="AG239" s="42"/>
      <c r="AH239" s="42"/>
      <c r="AI239" s="43"/>
      <c r="AJ239" s="44"/>
      <c r="AK239" s="45"/>
      <c r="AL239" s="45"/>
      <c r="AM239" s="45"/>
      <c r="AN239" s="46"/>
      <c r="AO239" s="47"/>
      <c r="AP239" s="48"/>
      <c r="AQ239" s="48"/>
      <c r="AR239" s="48"/>
      <c r="AS239" s="48"/>
      <c r="AT239" s="49"/>
      <c r="AU239" s="50" t="s">
        <v>87</v>
      </c>
      <c r="AV239" s="51" t="s">
        <v>87</v>
      </c>
      <c r="AW239" s="51" t="s">
        <v>87</v>
      </c>
      <c r="AX239" s="52" t="s">
        <v>87</v>
      </c>
      <c r="AY239" s="53" t="s">
        <v>87</v>
      </c>
      <c r="AZ239" s="80"/>
      <c r="BA239" s="54"/>
      <c r="BB239" s="55"/>
      <c r="BC239" s="55"/>
      <c r="BD239" s="55"/>
      <c r="BE239" s="55"/>
      <c r="BF239" s="55"/>
      <c r="BG239" s="56"/>
      <c r="BH239" s="57"/>
      <c r="BI239" s="58"/>
      <c r="BJ239" s="58"/>
      <c r="BK239" s="58"/>
      <c r="BL239" s="58"/>
      <c r="BM239" s="58"/>
      <c r="BN239" s="58"/>
      <c r="BO239" s="58"/>
    </row>
    <row r="240" spans="1:67" ht="28.5" customHeight="1" x14ac:dyDescent="0.35">
      <c r="A240" s="69" t="s">
        <v>1263</v>
      </c>
      <c r="B240" s="69">
        <v>67137826432</v>
      </c>
      <c r="C240" s="69" t="s">
        <v>80</v>
      </c>
      <c r="D240" s="69" t="s">
        <v>1264</v>
      </c>
      <c r="E240" s="69" t="s">
        <v>973</v>
      </c>
      <c r="F240" s="69" t="s">
        <v>83</v>
      </c>
      <c r="G240" s="69">
        <v>2022</v>
      </c>
      <c r="H240" s="69" t="s">
        <v>1265</v>
      </c>
      <c r="I240" s="71" t="s">
        <v>1266</v>
      </c>
      <c r="J240" s="70" t="s">
        <v>1267</v>
      </c>
      <c r="K240" s="70" t="s">
        <v>1268</v>
      </c>
      <c r="L240" s="59"/>
      <c r="M240" s="60"/>
      <c r="N240" s="60"/>
      <c r="O240" s="60"/>
      <c r="P240" s="60"/>
      <c r="Q240" s="61"/>
      <c r="R240" s="32"/>
      <c r="S240" s="33"/>
      <c r="T240" s="33"/>
      <c r="U240" s="33"/>
      <c r="V240" s="34"/>
      <c r="W240" s="35"/>
      <c r="X240" s="36" t="s">
        <v>87</v>
      </c>
      <c r="Y240" s="36" t="s">
        <v>87</v>
      </c>
      <c r="Z240" s="36"/>
      <c r="AA240" s="37"/>
      <c r="AB240" s="38"/>
      <c r="AC240" s="39"/>
      <c r="AD240" s="40"/>
      <c r="AE240" s="41"/>
      <c r="AF240" s="42"/>
      <c r="AG240" s="42"/>
      <c r="AH240" s="42"/>
      <c r="AI240" s="43"/>
      <c r="AJ240" s="44"/>
      <c r="AK240" s="45"/>
      <c r="AL240" s="45"/>
      <c r="AM240" s="45"/>
      <c r="AN240" s="46"/>
      <c r="AO240" s="47"/>
      <c r="AP240" s="48"/>
      <c r="AQ240" s="48"/>
      <c r="AR240" s="48"/>
      <c r="AS240" s="48"/>
      <c r="AT240" s="49"/>
      <c r="AU240" s="50" t="s">
        <v>87</v>
      </c>
      <c r="AV240" s="51" t="s">
        <v>87</v>
      </c>
      <c r="AW240" s="51" t="s">
        <v>87</v>
      </c>
      <c r="AX240" s="52" t="s">
        <v>87</v>
      </c>
      <c r="AY240" s="53"/>
      <c r="AZ240" s="80"/>
      <c r="BA240" s="54"/>
      <c r="BB240" s="55"/>
      <c r="BC240" s="55"/>
      <c r="BD240" s="55"/>
      <c r="BE240" s="55"/>
      <c r="BF240" s="55"/>
      <c r="BG240" s="56"/>
      <c r="BH240" s="57"/>
      <c r="BI240" s="58"/>
      <c r="BJ240" s="58"/>
      <c r="BK240" s="58"/>
      <c r="BL240" s="58"/>
      <c r="BM240" s="58"/>
      <c r="BN240" s="58"/>
      <c r="BO240" s="58"/>
    </row>
    <row r="241" spans="1:67" ht="28.5" customHeight="1" x14ac:dyDescent="0.35">
      <c r="A241" s="66" t="s">
        <v>1269</v>
      </c>
      <c r="B241" s="66">
        <v>51169387286</v>
      </c>
      <c r="C241" s="66" t="s">
        <v>80</v>
      </c>
      <c r="D241" s="66" t="s">
        <v>1270</v>
      </c>
      <c r="E241" s="66" t="s">
        <v>1271</v>
      </c>
      <c r="F241" s="66" t="s">
        <v>83</v>
      </c>
      <c r="G241" s="66" t="str">
        <f>"2000"</f>
        <v>2000</v>
      </c>
      <c r="H241" s="66" t="str">
        <f>"02 9360 0099"</f>
        <v>02 9360 0099</v>
      </c>
      <c r="I241" s="66" t="str">
        <f>"0432472042"</f>
        <v>0432472042</v>
      </c>
      <c r="J241" s="68" t="s">
        <v>1272</v>
      </c>
      <c r="K241" s="68" t="s">
        <v>1273</v>
      </c>
      <c r="L241" s="59"/>
      <c r="M241" s="60"/>
      <c r="N241" s="60"/>
      <c r="O241" s="60"/>
      <c r="P241" s="60"/>
      <c r="Q241" s="61"/>
      <c r="R241" s="32"/>
      <c r="S241" s="33"/>
      <c r="T241" s="33"/>
      <c r="U241" s="33"/>
      <c r="V241" s="34"/>
      <c r="W241" s="35" t="s">
        <v>87</v>
      </c>
      <c r="X241" s="36" t="s">
        <v>87</v>
      </c>
      <c r="Y241" s="36" t="s">
        <v>87</v>
      </c>
      <c r="Z241" s="36"/>
      <c r="AA241" s="37"/>
      <c r="AB241" s="38"/>
      <c r="AC241" s="39"/>
      <c r="AD241" s="40"/>
      <c r="AE241" s="41"/>
      <c r="AF241" s="42"/>
      <c r="AG241" s="42"/>
      <c r="AH241" s="42"/>
      <c r="AI241" s="43"/>
      <c r="AJ241" s="44"/>
      <c r="AK241" s="45"/>
      <c r="AL241" s="45"/>
      <c r="AM241" s="45"/>
      <c r="AN241" s="46"/>
      <c r="AO241" s="47"/>
      <c r="AP241" s="48"/>
      <c r="AQ241" s="48"/>
      <c r="AR241" s="48"/>
      <c r="AS241" s="48"/>
      <c r="AT241" s="49"/>
      <c r="AU241" s="50" t="s">
        <v>87</v>
      </c>
      <c r="AV241" s="51" t="s">
        <v>87</v>
      </c>
      <c r="AW241" s="51" t="s">
        <v>87</v>
      </c>
      <c r="AX241" s="52"/>
      <c r="AY241" s="53"/>
      <c r="AZ241" s="80"/>
      <c r="BA241" s="54"/>
      <c r="BB241" s="55"/>
      <c r="BC241" s="55" t="s">
        <v>87</v>
      </c>
      <c r="BD241" s="55" t="s">
        <v>87</v>
      </c>
      <c r="BE241" s="55"/>
      <c r="BF241" s="55"/>
      <c r="BG241" s="56"/>
      <c r="BH241" s="57"/>
      <c r="BI241" s="58"/>
      <c r="BJ241" s="58"/>
      <c r="BK241" s="58"/>
      <c r="BL241" s="58"/>
      <c r="BM241" s="58"/>
      <c r="BN241" s="58"/>
      <c r="BO241" s="58"/>
    </row>
    <row r="242" spans="1:67" ht="28.5" customHeight="1" x14ac:dyDescent="0.35">
      <c r="A242" s="66" t="s">
        <v>1274</v>
      </c>
      <c r="B242" s="66">
        <v>41651216465</v>
      </c>
      <c r="C242" s="66" t="s">
        <v>80</v>
      </c>
      <c r="D242" s="66" t="s">
        <v>1275</v>
      </c>
      <c r="E242" s="66" t="s">
        <v>580</v>
      </c>
      <c r="F242" s="66" t="s">
        <v>83</v>
      </c>
      <c r="G242" s="66">
        <v>2000</v>
      </c>
      <c r="H242" s="67" t="s">
        <v>1276</v>
      </c>
      <c r="I242" s="66">
        <v>418708663</v>
      </c>
      <c r="J242" s="68" t="s">
        <v>1277</v>
      </c>
      <c r="K242" s="68" t="s">
        <v>1278</v>
      </c>
      <c r="L242" s="59"/>
      <c r="M242" s="60"/>
      <c r="N242" s="60"/>
      <c r="O242" s="60"/>
      <c r="P242" s="60"/>
      <c r="Q242" s="61"/>
      <c r="R242" s="32"/>
      <c r="S242" s="33" t="s">
        <v>87</v>
      </c>
      <c r="T242" s="33"/>
      <c r="U242" s="33"/>
      <c r="V242" s="34"/>
      <c r="W242" s="35"/>
      <c r="X242" s="36"/>
      <c r="Y242" s="36"/>
      <c r="Z242" s="36"/>
      <c r="AA242" s="37"/>
      <c r="AB242" s="38"/>
      <c r="AC242" s="39" t="s">
        <v>87</v>
      </c>
      <c r="AD242" s="40"/>
      <c r="AE242" s="41"/>
      <c r="AF242" s="42"/>
      <c r="AG242" s="42"/>
      <c r="AH242" s="42"/>
      <c r="AI242" s="43"/>
      <c r="AJ242" s="44"/>
      <c r="AK242" s="45"/>
      <c r="AL242" s="45"/>
      <c r="AM242" s="45"/>
      <c r="AN242" s="46"/>
      <c r="AO242" s="47"/>
      <c r="AP242" s="48"/>
      <c r="AQ242" s="48"/>
      <c r="AR242" s="48"/>
      <c r="AS242" s="48"/>
      <c r="AT242" s="49"/>
      <c r="AU242" s="50"/>
      <c r="AV242" s="51"/>
      <c r="AW242" s="51"/>
      <c r="AX242" s="52"/>
      <c r="AY242" s="53"/>
      <c r="AZ242" s="80"/>
      <c r="BA242" s="54"/>
      <c r="BB242" s="55"/>
      <c r="BC242" s="55"/>
      <c r="BD242" s="55"/>
      <c r="BE242" s="55"/>
      <c r="BF242" s="55"/>
      <c r="BG242" s="56"/>
      <c r="BH242" s="57"/>
      <c r="BI242" s="58"/>
      <c r="BJ242" s="58"/>
      <c r="BK242" s="58"/>
      <c r="BL242" s="58"/>
      <c r="BM242" s="58"/>
      <c r="BN242" s="58"/>
      <c r="BO242" s="58"/>
    </row>
    <row r="243" spans="1:67" ht="28.5" customHeight="1" x14ac:dyDescent="0.35">
      <c r="A243" s="66" t="s">
        <v>1279</v>
      </c>
      <c r="B243" s="66">
        <v>60530592074</v>
      </c>
      <c r="C243" s="66" t="s">
        <v>80</v>
      </c>
      <c r="D243" s="66" t="s">
        <v>1280</v>
      </c>
      <c r="E243" s="66" t="s">
        <v>132</v>
      </c>
      <c r="F243" s="66" t="s">
        <v>83</v>
      </c>
      <c r="G243" s="66">
        <v>2134</v>
      </c>
      <c r="H243" s="66" t="s">
        <v>1281</v>
      </c>
      <c r="I243" s="67" t="s">
        <v>1282</v>
      </c>
      <c r="J243" s="68" t="s">
        <v>1283</v>
      </c>
      <c r="K243" s="68" t="s">
        <v>1284</v>
      </c>
      <c r="L243" s="59"/>
      <c r="M243" s="60"/>
      <c r="N243" s="60"/>
      <c r="O243" s="60"/>
      <c r="P243" s="60"/>
      <c r="Q243" s="61"/>
      <c r="R243" s="32"/>
      <c r="S243" s="33"/>
      <c r="T243" s="33"/>
      <c r="U243" s="33"/>
      <c r="V243" s="34"/>
      <c r="W243" s="35"/>
      <c r="X243" s="36"/>
      <c r="Y243" s="36"/>
      <c r="Z243" s="36"/>
      <c r="AA243" s="37"/>
      <c r="AB243" s="38"/>
      <c r="AC243" s="39"/>
      <c r="AD243" s="40"/>
      <c r="AE243" s="41"/>
      <c r="AF243" s="42"/>
      <c r="AG243" s="42"/>
      <c r="AH243" s="42"/>
      <c r="AI243" s="43"/>
      <c r="AJ243" s="44"/>
      <c r="AK243" s="45"/>
      <c r="AL243" s="45"/>
      <c r="AM243" s="45"/>
      <c r="AN243" s="46"/>
      <c r="AO243" s="47"/>
      <c r="AP243" s="48"/>
      <c r="AQ243" s="48"/>
      <c r="AR243" s="48"/>
      <c r="AS243" s="48"/>
      <c r="AT243" s="49"/>
      <c r="AU243" s="50"/>
      <c r="AV243" s="51"/>
      <c r="AW243" s="51"/>
      <c r="AX243" s="52"/>
      <c r="AY243" s="53"/>
      <c r="AZ243" s="80"/>
      <c r="BA243" s="54"/>
      <c r="BB243" s="55"/>
      <c r="BC243" s="55"/>
      <c r="BD243" s="55"/>
      <c r="BE243" s="55"/>
      <c r="BF243" s="55"/>
      <c r="BG243" s="56"/>
      <c r="BH243" s="57"/>
      <c r="BI243" s="58"/>
      <c r="BJ243" s="58"/>
      <c r="BK243" s="58"/>
      <c r="BL243" s="58"/>
      <c r="BM243" s="58"/>
      <c r="BN243" s="58" t="s">
        <v>87</v>
      </c>
      <c r="BO243" s="58" t="s">
        <v>87</v>
      </c>
    </row>
    <row r="244" spans="1:67" ht="28.5" customHeight="1" x14ac:dyDescent="0.35">
      <c r="A244" s="66" t="s">
        <v>1285</v>
      </c>
      <c r="B244" s="66">
        <v>46606398458</v>
      </c>
      <c r="C244" s="66" t="s">
        <v>80</v>
      </c>
      <c r="D244" s="66" t="s">
        <v>1286</v>
      </c>
      <c r="E244" s="66" t="s">
        <v>1287</v>
      </c>
      <c r="F244" s="66" t="s">
        <v>83</v>
      </c>
      <c r="G244" s="66" t="str">
        <f>"2031"</f>
        <v>2031</v>
      </c>
      <c r="H244" s="66" t="str">
        <f>"02 4341 9623"</f>
        <v>02 4341 9623</v>
      </c>
      <c r="I244" s="66" t="str">
        <f>"0412482161"</f>
        <v>0412482161</v>
      </c>
      <c r="J244" s="68" t="s">
        <v>1288</v>
      </c>
      <c r="K244" s="68" t="s">
        <v>1289</v>
      </c>
      <c r="L244" s="59"/>
      <c r="M244" s="60"/>
      <c r="N244" s="60"/>
      <c r="O244" s="60"/>
      <c r="P244" s="60"/>
      <c r="Q244" s="61"/>
      <c r="R244" s="32"/>
      <c r="S244" s="33"/>
      <c r="T244" s="33"/>
      <c r="U244" s="33"/>
      <c r="V244" s="34"/>
      <c r="W244" s="35"/>
      <c r="X244" s="36"/>
      <c r="Y244" s="36"/>
      <c r="Z244" s="36"/>
      <c r="AA244" s="37"/>
      <c r="AB244" s="38"/>
      <c r="AC244" s="39"/>
      <c r="AD244" s="40"/>
      <c r="AE244" s="41"/>
      <c r="AF244" s="42"/>
      <c r="AG244" s="42"/>
      <c r="AH244" s="42"/>
      <c r="AI244" s="43"/>
      <c r="AJ244" s="44"/>
      <c r="AK244" s="45"/>
      <c r="AL244" s="45"/>
      <c r="AM244" s="45"/>
      <c r="AN244" s="46"/>
      <c r="AO244" s="47"/>
      <c r="AP244" s="48"/>
      <c r="AQ244" s="48"/>
      <c r="AR244" s="48"/>
      <c r="AS244" s="48"/>
      <c r="AT244" s="49"/>
      <c r="AU244" s="50"/>
      <c r="AV244" s="51"/>
      <c r="AW244" s="51"/>
      <c r="AX244" s="52"/>
      <c r="AY244" s="53"/>
      <c r="AZ244" s="80"/>
      <c r="BA244" s="54"/>
      <c r="BB244" s="55"/>
      <c r="BC244" s="55"/>
      <c r="BD244" s="55"/>
      <c r="BE244" s="55"/>
      <c r="BF244" s="55"/>
      <c r="BG244" s="56"/>
      <c r="BH244" s="57" t="s">
        <v>87</v>
      </c>
      <c r="BI244" s="58" t="s">
        <v>87</v>
      </c>
      <c r="BJ244" s="58" t="s">
        <v>87</v>
      </c>
      <c r="BK244" s="58" t="s">
        <v>87</v>
      </c>
      <c r="BL244" s="58" t="s">
        <v>87</v>
      </c>
      <c r="BM244" s="58" t="s">
        <v>87</v>
      </c>
      <c r="BN244" s="58" t="s">
        <v>87</v>
      </c>
      <c r="BO244" s="58" t="s">
        <v>87</v>
      </c>
    </row>
    <row r="245" spans="1:67" ht="28.5" customHeight="1" x14ac:dyDescent="0.35">
      <c r="A245" s="66" t="s">
        <v>1290</v>
      </c>
      <c r="B245" s="66">
        <v>89628470920</v>
      </c>
      <c r="C245" s="66" t="s">
        <v>80</v>
      </c>
      <c r="D245" s="66" t="s">
        <v>1291</v>
      </c>
      <c r="E245" s="66" t="s">
        <v>90</v>
      </c>
      <c r="F245" s="66" t="s">
        <v>83</v>
      </c>
      <c r="G245" s="66" t="str">
        <f>"2830"</f>
        <v>2830</v>
      </c>
      <c r="H245" s="66"/>
      <c r="I245" s="66" t="str">
        <f>"0428058549"</f>
        <v>0428058549</v>
      </c>
      <c r="J245" s="68" t="s">
        <v>1292</v>
      </c>
      <c r="K245" s="68" t="s">
        <v>1293</v>
      </c>
      <c r="L245" s="59"/>
      <c r="M245" s="60"/>
      <c r="N245" s="60"/>
      <c r="O245" s="60"/>
      <c r="P245" s="60"/>
      <c r="Q245" s="61"/>
      <c r="R245" s="32"/>
      <c r="S245" s="33"/>
      <c r="T245" s="33"/>
      <c r="U245" s="33"/>
      <c r="V245" s="34"/>
      <c r="W245" s="35"/>
      <c r="X245" s="36"/>
      <c r="Y245" s="36"/>
      <c r="Z245" s="36"/>
      <c r="AA245" s="37"/>
      <c r="AB245" s="38"/>
      <c r="AC245" s="39"/>
      <c r="AD245" s="40"/>
      <c r="AE245" s="41"/>
      <c r="AF245" s="42"/>
      <c r="AG245" s="42"/>
      <c r="AH245" s="42"/>
      <c r="AI245" s="43"/>
      <c r="AJ245" s="44"/>
      <c r="AK245" s="45"/>
      <c r="AL245" s="45"/>
      <c r="AM245" s="45"/>
      <c r="AN245" s="46"/>
      <c r="AO245" s="47"/>
      <c r="AP245" s="48"/>
      <c r="AQ245" s="48"/>
      <c r="AR245" s="48"/>
      <c r="AS245" s="48"/>
      <c r="AT245" s="49"/>
      <c r="AU245" s="50"/>
      <c r="AV245" s="51"/>
      <c r="AW245" s="51"/>
      <c r="AX245" s="52"/>
      <c r="AY245" s="53" t="s">
        <v>87</v>
      </c>
      <c r="AZ245" s="80" t="s">
        <v>87</v>
      </c>
      <c r="BA245" s="54"/>
      <c r="BB245" s="55"/>
      <c r="BC245" s="55" t="s">
        <v>87</v>
      </c>
      <c r="BD245" s="55" t="s">
        <v>87</v>
      </c>
      <c r="BE245" s="55"/>
      <c r="BF245" s="55" t="s">
        <v>87</v>
      </c>
      <c r="BG245" s="56"/>
      <c r="BH245" s="57"/>
      <c r="BI245" s="58"/>
      <c r="BJ245" s="58"/>
      <c r="BK245" s="58"/>
      <c r="BL245" s="58"/>
      <c r="BM245" s="58"/>
      <c r="BN245" s="58"/>
      <c r="BO245" s="58"/>
    </row>
    <row r="246" spans="1:67" ht="28.5" customHeight="1" x14ac:dyDescent="0.35">
      <c r="A246" s="66" t="s">
        <v>1294</v>
      </c>
      <c r="B246" s="66">
        <v>36128792816</v>
      </c>
      <c r="C246" s="66" t="s">
        <v>80</v>
      </c>
      <c r="D246" s="66" t="s">
        <v>1295</v>
      </c>
      <c r="E246" s="66" t="s">
        <v>90</v>
      </c>
      <c r="F246" s="66" t="s">
        <v>83</v>
      </c>
      <c r="G246" s="66">
        <v>2067</v>
      </c>
      <c r="H246" s="67" t="s">
        <v>1296</v>
      </c>
      <c r="I246" s="67" t="s">
        <v>1297</v>
      </c>
      <c r="J246" s="68" t="s">
        <v>1298</v>
      </c>
      <c r="K246" s="68" t="s">
        <v>1299</v>
      </c>
      <c r="L246" s="59"/>
      <c r="M246" s="60"/>
      <c r="N246" s="60"/>
      <c r="O246" s="60"/>
      <c r="P246" s="60"/>
      <c r="Q246" s="61"/>
      <c r="R246" s="32"/>
      <c r="S246" s="33"/>
      <c r="T246" s="33"/>
      <c r="U246" s="33"/>
      <c r="V246" s="34"/>
      <c r="W246" s="35"/>
      <c r="X246" s="36"/>
      <c r="Y246" s="36"/>
      <c r="Z246" s="36"/>
      <c r="AA246" s="37"/>
      <c r="AB246" s="38"/>
      <c r="AC246" s="39"/>
      <c r="AD246" s="40"/>
      <c r="AE246" s="41"/>
      <c r="AF246" s="42"/>
      <c r="AG246" s="42"/>
      <c r="AH246" s="42"/>
      <c r="AI246" s="43"/>
      <c r="AJ246" s="44"/>
      <c r="AK246" s="45"/>
      <c r="AL246" s="45"/>
      <c r="AM246" s="45"/>
      <c r="AN246" s="46"/>
      <c r="AO246" s="47"/>
      <c r="AP246" s="48"/>
      <c r="AQ246" s="48"/>
      <c r="AR246" s="48"/>
      <c r="AS246" s="48"/>
      <c r="AT246" s="49"/>
      <c r="AU246" s="50" t="s">
        <v>87</v>
      </c>
      <c r="AV246" s="51"/>
      <c r="AW246" s="51"/>
      <c r="AX246" s="52"/>
      <c r="AY246" s="53"/>
      <c r="AZ246" s="80"/>
      <c r="BA246" s="54"/>
      <c r="BB246" s="55"/>
      <c r="BC246" s="55"/>
      <c r="BD246" s="55"/>
      <c r="BE246" s="55"/>
      <c r="BF246" s="55"/>
      <c r="BG246" s="56"/>
      <c r="BH246" s="57" t="s">
        <v>87</v>
      </c>
      <c r="BI246" s="58" t="s">
        <v>87</v>
      </c>
      <c r="BJ246" s="58"/>
      <c r="BK246" s="58"/>
      <c r="BL246" s="58"/>
      <c r="BM246" s="58"/>
      <c r="BN246" s="58" t="s">
        <v>87</v>
      </c>
      <c r="BO246" s="58" t="s">
        <v>87</v>
      </c>
    </row>
    <row r="247" spans="1:67" ht="28.5" customHeight="1" x14ac:dyDescent="0.35">
      <c r="A247" s="69" t="s">
        <v>1300</v>
      </c>
      <c r="B247" s="69" t="s">
        <v>1301</v>
      </c>
      <c r="C247" s="69" t="s">
        <v>80</v>
      </c>
      <c r="D247" s="69" t="s">
        <v>1302</v>
      </c>
      <c r="E247" s="69" t="s">
        <v>152</v>
      </c>
      <c r="F247" s="69" t="s">
        <v>379</v>
      </c>
      <c r="G247" s="69">
        <v>3000</v>
      </c>
      <c r="H247" s="69"/>
      <c r="I247" s="71" t="s">
        <v>1303</v>
      </c>
      <c r="J247" s="70" t="s">
        <v>1304</v>
      </c>
      <c r="K247" s="70" t="s">
        <v>1305</v>
      </c>
      <c r="L247" s="59"/>
      <c r="M247" s="60"/>
      <c r="N247" s="60"/>
      <c r="O247" s="60"/>
      <c r="P247" s="60"/>
      <c r="Q247" s="61"/>
      <c r="R247" s="32"/>
      <c r="S247" s="33"/>
      <c r="T247" s="33"/>
      <c r="U247" s="33"/>
      <c r="V247" s="34"/>
      <c r="W247" s="35"/>
      <c r="X247" s="36"/>
      <c r="Y247" s="36"/>
      <c r="Z247" s="36"/>
      <c r="AA247" s="37"/>
      <c r="AB247" s="38"/>
      <c r="AC247" s="39"/>
      <c r="AD247" s="40"/>
      <c r="AE247" s="41"/>
      <c r="AF247" s="42"/>
      <c r="AG247" s="42"/>
      <c r="AH247" s="42"/>
      <c r="AI247" s="43"/>
      <c r="AJ247" s="44"/>
      <c r="AK247" s="45"/>
      <c r="AL247" s="45"/>
      <c r="AM247" s="45"/>
      <c r="AN247" s="46"/>
      <c r="AO247" s="47"/>
      <c r="AP247" s="48"/>
      <c r="AQ247" s="48"/>
      <c r="AR247" s="48"/>
      <c r="AS247" s="48"/>
      <c r="AT247" s="49"/>
      <c r="AU247" s="50"/>
      <c r="AV247" s="51"/>
      <c r="AW247" s="51"/>
      <c r="AX247" s="52"/>
      <c r="AY247" s="53"/>
      <c r="AZ247" s="80"/>
      <c r="BA247" s="54"/>
      <c r="BB247" s="55"/>
      <c r="BC247" s="55"/>
      <c r="BD247" s="55"/>
      <c r="BE247" s="55"/>
      <c r="BF247" s="55"/>
      <c r="BG247" s="56"/>
      <c r="BH247" s="57" t="s">
        <v>87</v>
      </c>
      <c r="BI247" s="58" t="s">
        <v>87</v>
      </c>
      <c r="BJ247" s="58"/>
      <c r="BK247" s="58"/>
      <c r="BL247" s="58"/>
      <c r="BM247" s="58"/>
      <c r="BN247" s="58" t="s">
        <v>87</v>
      </c>
      <c r="BO247" s="58" t="s">
        <v>87</v>
      </c>
    </row>
    <row r="248" spans="1:67" ht="28.5" customHeight="1" x14ac:dyDescent="0.35">
      <c r="A248" s="66" t="s">
        <v>1306</v>
      </c>
      <c r="B248" s="66">
        <v>23612937863</v>
      </c>
      <c r="C248" s="66" t="s">
        <v>80</v>
      </c>
      <c r="D248" s="66" t="s">
        <v>1307</v>
      </c>
      <c r="E248" s="66" t="s">
        <v>90</v>
      </c>
      <c r="F248" s="66" t="s">
        <v>83</v>
      </c>
      <c r="G248" s="66" t="str">
        <f>"2010"</f>
        <v>2010</v>
      </c>
      <c r="H248" s="66" t="str">
        <f>"02 9318 1771"</f>
        <v>02 9318 1771</v>
      </c>
      <c r="I248" s="66" t="str">
        <f>"0414881676"</f>
        <v>0414881676</v>
      </c>
      <c r="J248" s="68" t="s">
        <v>1308</v>
      </c>
      <c r="K248" s="68" t="s">
        <v>1309</v>
      </c>
      <c r="L248" s="59"/>
      <c r="M248" s="60"/>
      <c r="N248" s="60"/>
      <c r="O248" s="60"/>
      <c r="P248" s="60"/>
      <c r="Q248" s="61"/>
      <c r="R248" s="32"/>
      <c r="S248" s="33"/>
      <c r="T248" s="33"/>
      <c r="U248" s="33"/>
      <c r="V248" s="34"/>
      <c r="W248" s="35"/>
      <c r="X248" s="36"/>
      <c r="Y248" s="36"/>
      <c r="Z248" s="36"/>
      <c r="AA248" s="37"/>
      <c r="AB248" s="38"/>
      <c r="AC248" s="39"/>
      <c r="AD248" s="40"/>
      <c r="AE248" s="41"/>
      <c r="AF248" s="42"/>
      <c r="AG248" s="42"/>
      <c r="AH248" s="42"/>
      <c r="AI248" s="43"/>
      <c r="AJ248" s="44"/>
      <c r="AK248" s="45"/>
      <c r="AL248" s="45"/>
      <c r="AM248" s="45"/>
      <c r="AN248" s="46"/>
      <c r="AO248" s="47"/>
      <c r="AP248" s="48"/>
      <c r="AQ248" s="48"/>
      <c r="AR248" s="48"/>
      <c r="AS248" s="48"/>
      <c r="AT248" s="49"/>
      <c r="AU248" s="50"/>
      <c r="AV248" s="51"/>
      <c r="AW248" s="51"/>
      <c r="AX248" s="52"/>
      <c r="AY248" s="53"/>
      <c r="AZ248" s="80"/>
      <c r="BA248" s="54"/>
      <c r="BB248" s="55"/>
      <c r="BC248" s="55"/>
      <c r="BD248" s="55"/>
      <c r="BE248" s="55"/>
      <c r="BF248" s="55"/>
      <c r="BG248" s="56"/>
      <c r="BH248" s="57" t="s">
        <v>87</v>
      </c>
      <c r="BI248" s="58"/>
      <c r="BJ248" s="58"/>
      <c r="BK248" s="58"/>
      <c r="BL248" s="58"/>
      <c r="BM248" s="58"/>
      <c r="BN248" s="58"/>
      <c r="BO248" s="58"/>
    </row>
    <row r="249" spans="1:67" ht="28.5" customHeight="1" x14ac:dyDescent="0.35">
      <c r="A249" s="66" t="s">
        <v>1310</v>
      </c>
      <c r="B249" s="66">
        <v>78002739951</v>
      </c>
      <c r="C249" s="66" t="s">
        <v>80</v>
      </c>
      <c r="D249" s="66" t="s">
        <v>1311</v>
      </c>
      <c r="E249" s="66" t="s">
        <v>594</v>
      </c>
      <c r="F249" s="66" t="s">
        <v>83</v>
      </c>
      <c r="G249" s="66" t="str">
        <f>"2016"</f>
        <v>2016</v>
      </c>
      <c r="H249" s="66" t="str">
        <f>"02 8966 5000"</f>
        <v>02 8966 5000</v>
      </c>
      <c r="I249" s="66" t="str">
        <f>""</f>
        <v/>
      </c>
      <c r="J249" s="68" t="s">
        <v>1312</v>
      </c>
      <c r="K249" s="68" t="s">
        <v>1313</v>
      </c>
      <c r="L249" s="59"/>
      <c r="M249" s="60"/>
      <c r="N249" s="60"/>
      <c r="O249" s="60"/>
      <c r="P249" s="60"/>
      <c r="Q249" s="61"/>
      <c r="R249" s="32"/>
      <c r="S249" s="33"/>
      <c r="T249" s="33"/>
      <c r="U249" s="33"/>
      <c r="V249" s="34"/>
      <c r="W249" s="35" t="s">
        <v>87</v>
      </c>
      <c r="X249" s="36" t="s">
        <v>87</v>
      </c>
      <c r="Y249" s="36"/>
      <c r="Z249" s="36" t="s">
        <v>87</v>
      </c>
      <c r="AA249" s="37" t="s">
        <v>87</v>
      </c>
      <c r="AB249" s="38"/>
      <c r="AC249" s="39"/>
      <c r="AD249" s="40"/>
      <c r="AE249" s="41"/>
      <c r="AF249" s="42"/>
      <c r="AG249" s="42"/>
      <c r="AH249" s="42"/>
      <c r="AI249" s="43"/>
      <c r="AJ249" s="44"/>
      <c r="AK249" s="45"/>
      <c r="AL249" s="45"/>
      <c r="AM249" s="45"/>
      <c r="AN249" s="46"/>
      <c r="AO249" s="47"/>
      <c r="AP249" s="48"/>
      <c r="AQ249" s="48"/>
      <c r="AR249" s="48"/>
      <c r="AS249" s="48"/>
      <c r="AT249" s="49"/>
      <c r="AU249" s="50"/>
      <c r="AV249" s="51"/>
      <c r="AW249" s="51"/>
      <c r="AX249" s="52"/>
      <c r="AY249" s="53"/>
      <c r="AZ249" s="80"/>
      <c r="BA249" s="54" t="s">
        <v>87</v>
      </c>
      <c r="BB249" s="55" t="s">
        <v>87</v>
      </c>
      <c r="BC249" s="55" t="s">
        <v>87</v>
      </c>
      <c r="BD249" s="55" t="s">
        <v>87</v>
      </c>
      <c r="BE249" s="55" t="s">
        <v>87</v>
      </c>
      <c r="BF249" s="55" t="s">
        <v>87</v>
      </c>
      <c r="BG249" s="56" t="s">
        <v>87</v>
      </c>
      <c r="BH249" s="57" t="s">
        <v>87</v>
      </c>
      <c r="BI249" s="58" t="s">
        <v>87</v>
      </c>
      <c r="BJ249" s="58" t="s">
        <v>87</v>
      </c>
      <c r="BK249" s="58" t="s">
        <v>87</v>
      </c>
      <c r="BL249" s="58" t="s">
        <v>87</v>
      </c>
      <c r="BM249" s="58" t="s">
        <v>87</v>
      </c>
      <c r="BN249" s="58" t="s">
        <v>87</v>
      </c>
      <c r="BO249" s="58" t="s">
        <v>87</v>
      </c>
    </row>
    <row r="250" spans="1:67" ht="28.5" customHeight="1" x14ac:dyDescent="0.35">
      <c r="A250" s="66" t="s">
        <v>1314</v>
      </c>
      <c r="B250" s="66">
        <v>57644577426</v>
      </c>
      <c r="C250" s="66" t="s">
        <v>80</v>
      </c>
      <c r="D250" s="66" t="s">
        <v>1315</v>
      </c>
      <c r="E250" s="66" t="s">
        <v>1316</v>
      </c>
      <c r="F250" s="66" t="s">
        <v>83</v>
      </c>
      <c r="G250" s="66">
        <v>2024</v>
      </c>
      <c r="H250" s="67"/>
      <c r="I250" s="67" t="s">
        <v>1317</v>
      </c>
      <c r="J250" s="68" t="s">
        <v>1318</v>
      </c>
      <c r="K250" s="68" t="s">
        <v>1319</v>
      </c>
      <c r="L250" s="59"/>
      <c r="M250" s="60"/>
      <c r="N250" s="60"/>
      <c r="O250" s="60"/>
      <c r="P250" s="60"/>
      <c r="Q250" s="61"/>
      <c r="R250" s="32"/>
      <c r="S250" s="33"/>
      <c r="T250" s="33"/>
      <c r="U250" s="33"/>
      <c r="V250" s="34"/>
      <c r="W250" s="35"/>
      <c r="X250" s="36"/>
      <c r="Y250" s="36"/>
      <c r="Z250" s="36"/>
      <c r="AA250" s="37"/>
      <c r="AB250" s="38"/>
      <c r="AC250" s="39"/>
      <c r="AD250" s="40"/>
      <c r="AE250" s="41"/>
      <c r="AF250" s="42"/>
      <c r="AG250" s="42"/>
      <c r="AH250" s="42"/>
      <c r="AI250" s="43"/>
      <c r="AJ250" s="44"/>
      <c r="AK250" s="45"/>
      <c r="AL250" s="45"/>
      <c r="AM250" s="45"/>
      <c r="AN250" s="46"/>
      <c r="AO250" s="47"/>
      <c r="AP250" s="48"/>
      <c r="AQ250" s="48"/>
      <c r="AR250" s="48"/>
      <c r="AS250" s="48"/>
      <c r="AT250" s="49"/>
      <c r="AU250" s="50"/>
      <c r="AV250" s="51"/>
      <c r="AW250" s="51"/>
      <c r="AX250" s="52"/>
      <c r="AY250" s="53"/>
      <c r="AZ250" s="80"/>
      <c r="BA250" s="54"/>
      <c r="BB250" s="55"/>
      <c r="BC250" s="55"/>
      <c r="BD250" s="55"/>
      <c r="BE250" s="55"/>
      <c r="BF250" s="55"/>
      <c r="BG250" s="56"/>
      <c r="BH250" s="57"/>
      <c r="BI250" s="58" t="s">
        <v>87</v>
      </c>
      <c r="BJ250" s="58" t="s">
        <v>87</v>
      </c>
      <c r="BK250" s="58" t="s">
        <v>87</v>
      </c>
      <c r="BL250" s="58" t="s">
        <v>87</v>
      </c>
      <c r="BM250" s="58" t="s">
        <v>87</v>
      </c>
      <c r="BN250" s="58" t="s">
        <v>87</v>
      </c>
      <c r="BO250" s="58" t="s">
        <v>87</v>
      </c>
    </row>
    <row r="251" spans="1:67" ht="28.5" customHeight="1" x14ac:dyDescent="0.35">
      <c r="A251" s="66" t="s">
        <v>1320</v>
      </c>
      <c r="B251" s="66">
        <v>67117645708</v>
      </c>
      <c r="C251" s="66" t="s">
        <v>80</v>
      </c>
      <c r="D251" s="66" t="s">
        <v>1321</v>
      </c>
      <c r="E251" s="66" t="s">
        <v>1322</v>
      </c>
      <c r="F251" s="66" t="s">
        <v>83</v>
      </c>
      <c r="G251" s="66">
        <v>2020</v>
      </c>
      <c r="H251" s="66"/>
      <c r="I251" s="67" t="s">
        <v>1323</v>
      </c>
      <c r="J251" s="68" t="s">
        <v>1324</v>
      </c>
      <c r="K251" s="68" t="s">
        <v>1325</v>
      </c>
      <c r="L251" s="59"/>
      <c r="M251" s="60"/>
      <c r="N251" s="60"/>
      <c r="O251" s="60"/>
      <c r="P251" s="60"/>
      <c r="Q251" s="61"/>
      <c r="R251" s="32" t="s">
        <v>87</v>
      </c>
      <c r="S251" s="33" t="s">
        <v>87</v>
      </c>
      <c r="T251" s="33" t="s">
        <v>87</v>
      </c>
      <c r="U251" s="33" t="s">
        <v>87</v>
      </c>
      <c r="V251" s="34" t="s">
        <v>87</v>
      </c>
      <c r="W251" s="35" t="s">
        <v>87</v>
      </c>
      <c r="X251" s="36" t="s">
        <v>87</v>
      </c>
      <c r="Y251" s="36"/>
      <c r="Z251" s="36"/>
      <c r="AA251" s="37" t="s">
        <v>87</v>
      </c>
      <c r="AB251" s="38"/>
      <c r="AC251" s="39"/>
      <c r="AD251" s="40"/>
      <c r="AE251" s="41"/>
      <c r="AF251" s="42"/>
      <c r="AG251" s="42"/>
      <c r="AH251" s="42"/>
      <c r="AI251" s="42"/>
      <c r="AJ251" s="44"/>
      <c r="AK251" s="45"/>
      <c r="AL251" s="45"/>
      <c r="AM251" s="45"/>
      <c r="AN251" s="46"/>
      <c r="AO251" s="47"/>
      <c r="AP251" s="48"/>
      <c r="AQ251" s="48"/>
      <c r="AR251" s="48"/>
      <c r="AS251" s="48"/>
      <c r="AT251" s="49"/>
      <c r="AU251" s="50"/>
      <c r="AV251" s="51"/>
      <c r="AW251" s="51"/>
      <c r="AX251" s="52"/>
      <c r="AY251" s="53"/>
      <c r="AZ251" s="80"/>
      <c r="BA251" s="54"/>
      <c r="BB251" s="55"/>
      <c r="BC251" s="55" t="s">
        <v>87</v>
      </c>
      <c r="BD251" s="55" t="s">
        <v>87</v>
      </c>
      <c r="BE251" s="55"/>
      <c r="BF251" s="55" t="s">
        <v>87</v>
      </c>
      <c r="BG251" s="56"/>
      <c r="BH251" s="57"/>
      <c r="BI251" s="58"/>
      <c r="BJ251" s="58"/>
      <c r="BK251" s="58"/>
      <c r="BL251" s="58"/>
      <c r="BM251" s="58"/>
      <c r="BN251" s="58"/>
      <c r="BO251" s="58"/>
    </row>
    <row r="252" spans="1:67" ht="28.5" customHeight="1" x14ac:dyDescent="0.35">
      <c r="A252" s="66" t="s">
        <v>1326</v>
      </c>
      <c r="B252" s="66">
        <v>33616095277</v>
      </c>
      <c r="C252" s="66" t="s">
        <v>80</v>
      </c>
      <c r="D252" s="66" t="s">
        <v>1327</v>
      </c>
      <c r="E252" s="66" t="s">
        <v>152</v>
      </c>
      <c r="F252" s="66" t="s">
        <v>83</v>
      </c>
      <c r="G252" s="66">
        <v>2010</v>
      </c>
      <c r="H252" s="67"/>
      <c r="I252" s="67" t="s">
        <v>1328</v>
      </c>
      <c r="J252" s="68" t="s">
        <v>1329</v>
      </c>
      <c r="K252" s="68" t="s">
        <v>1330</v>
      </c>
      <c r="L252" s="59"/>
      <c r="M252" s="60"/>
      <c r="N252" s="60"/>
      <c r="O252" s="60"/>
      <c r="P252" s="60"/>
      <c r="Q252" s="61"/>
      <c r="R252" s="32"/>
      <c r="S252" s="33"/>
      <c r="T252" s="33"/>
      <c r="U252" s="33"/>
      <c r="V252" s="34"/>
      <c r="W252" s="35"/>
      <c r="X252" s="36"/>
      <c r="Y252" s="36"/>
      <c r="Z252" s="36"/>
      <c r="AA252" s="37"/>
      <c r="AB252" s="38"/>
      <c r="AC252" s="39"/>
      <c r="AD252" s="40"/>
      <c r="AE252" s="41"/>
      <c r="AF252" s="42"/>
      <c r="AG252" s="42"/>
      <c r="AH252" s="42"/>
      <c r="AI252" s="42"/>
      <c r="AJ252" s="44"/>
      <c r="AK252" s="45"/>
      <c r="AL252" s="45"/>
      <c r="AM252" s="45"/>
      <c r="AN252" s="46"/>
      <c r="AO252" s="47"/>
      <c r="AP252" s="48"/>
      <c r="AQ252" s="48"/>
      <c r="AR252" s="48"/>
      <c r="AS252" s="48"/>
      <c r="AT252" s="49"/>
      <c r="AU252" s="50"/>
      <c r="AV252" s="51"/>
      <c r="AW252" s="51"/>
      <c r="AX252" s="52"/>
      <c r="AY252" s="53"/>
      <c r="AZ252" s="80"/>
      <c r="BA252" s="54"/>
      <c r="BB252" s="55"/>
      <c r="BC252" s="55"/>
      <c r="BD252" s="55"/>
      <c r="BE252" s="55"/>
      <c r="BF252" s="55"/>
      <c r="BG252" s="56"/>
      <c r="BH252" s="57"/>
      <c r="BI252" s="58" t="s">
        <v>87</v>
      </c>
      <c r="BJ252" s="58"/>
      <c r="BK252" s="58"/>
      <c r="BL252" s="58" t="s">
        <v>87</v>
      </c>
      <c r="BM252" s="58" t="s">
        <v>87</v>
      </c>
      <c r="BN252" s="58" t="s">
        <v>87</v>
      </c>
      <c r="BO252" s="58" t="s">
        <v>87</v>
      </c>
    </row>
    <row r="253" spans="1:67" ht="28.5" customHeight="1" x14ac:dyDescent="0.35">
      <c r="A253" s="66" t="s">
        <v>1331</v>
      </c>
      <c r="B253" s="66">
        <v>16609658531</v>
      </c>
      <c r="C253" s="66" t="s">
        <v>80</v>
      </c>
      <c r="D253" s="66" t="s">
        <v>1332</v>
      </c>
      <c r="E253" s="66" t="s">
        <v>1333</v>
      </c>
      <c r="F253" s="66" t="s">
        <v>115</v>
      </c>
      <c r="G253" s="66">
        <v>4000</v>
      </c>
      <c r="H253" s="67"/>
      <c r="I253" s="67" t="s">
        <v>1334</v>
      </c>
      <c r="J253" s="68" t="s">
        <v>1335</v>
      </c>
      <c r="K253" s="68" t="s">
        <v>1336</v>
      </c>
      <c r="L253" s="59"/>
      <c r="M253" s="60"/>
      <c r="N253" s="60"/>
      <c r="O253" s="60"/>
      <c r="P253" s="60"/>
      <c r="Q253" s="61"/>
      <c r="R253" s="32"/>
      <c r="S253" s="33"/>
      <c r="T253" s="33" t="s">
        <v>87</v>
      </c>
      <c r="U253" s="33"/>
      <c r="V253" s="34"/>
      <c r="W253" s="35"/>
      <c r="X253" s="36"/>
      <c r="Y253" s="36"/>
      <c r="Z253" s="36"/>
      <c r="AA253" s="37"/>
      <c r="AB253" s="38"/>
      <c r="AC253" s="39"/>
      <c r="AD253" s="40"/>
      <c r="AE253" s="41"/>
      <c r="AF253" s="42"/>
      <c r="AG253" s="42"/>
      <c r="AH253" s="42"/>
      <c r="AI253" s="42"/>
      <c r="AJ253" s="44"/>
      <c r="AK253" s="45"/>
      <c r="AL253" s="45"/>
      <c r="AM253" s="45"/>
      <c r="AN253" s="46"/>
      <c r="AO253" s="47"/>
      <c r="AP253" s="48"/>
      <c r="AQ253" s="48"/>
      <c r="AR253" s="48"/>
      <c r="AS253" s="48"/>
      <c r="AT253" s="49"/>
      <c r="AU253" s="50"/>
      <c r="AV253" s="51"/>
      <c r="AW253" s="51"/>
      <c r="AX253" s="52"/>
      <c r="AY253" s="53"/>
      <c r="AZ253" s="80"/>
      <c r="BA253" s="54"/>
      <c r="BB253" s="55"/>
      <c r="BC253" s="55"/>
      <c r="BD253" s="55"/>
      <c r="BE253" s="55"/>
      <c r="BF253" s="55"/>
      <c r="BG253" s="56"/>
      <c r="BH253" s="57"/>
      <c r="BI253" s="58"/>
      <c r="BJ253" s="58"/>
      <c r="BK253" s="58"/>
      <c r="BL253" s="58"/>
      <c r="BM253" s="58"/>
      <c r="BN253" s="58"/>
      <c r="BO253" s="58"/>
    </row>
    <row r="254" spans="1:67" ht="28.5" customHeight="1" x14ac:dyDescent="0.35">
      <c r="A254" s="66" t="s">
        <v>1337</v>
      </c>
      <c r="B254" s="66">
        <v>76105146174</v>
      </c>
      <c r="C254" s="66" t="s">
        <v>80</v>
      </c>
      <c r="D254" s="66" t="s">
        <v>1338</v>
      </c>
      <c r="E254" s="66" t="s">
        <v>1339</v>
      </c>
      <c r="F254" s="66" t="s">
        <v>379</v>
      </c>
      <c r="G254" s="66">
        <v>3124</v>
      </c>
      <c r="H254" s="67" t="s">
        <v>1340</v>
      </c>
      <c r="I254" s="67" t="s">
        <v>1341</v>
      </c>
      <c r="J254" s="68" t="s">
        <v>1342</v>
      </c>
      <c r="K254" s="68" t="s">
        <v>1343</v>
      </c>
      <c r="L254" s="59" t="s">
        <v>87</v>
      </c>
      <c r="M254" s="60"/>
      <c r="N254" s="60" t="s">
        <v>87</v>
      </c>
      <c r="O254" s="60" t="s">
        <v>87</v>
      </c>
      <c r="P254" s="60" t="s">
        <v>87</v>
      </c>
      <c r="Q254" s="61" t="s">
        <v>87</v>
      </c>
      <c r="R254" s="32"/>
      <c r="S254" s="33"/>
      <c r="T254" s="33"/>
      <c r="U254" s="33"/>
      <c r="V254" s="34"/>
      <c r="W254" s="35"/>
      <c r="X254" s="36"/>
      <c r="Y254" s="36"/>
      <c r="Z254" s="36"/>
      <c r="AA254" s="37"/>
      <c r="AB254" s="38"/>
      <c r="AC254" s="39"/>
      <c r="AD254" s="40"/>
      <c r="AE254" s="41"/>
      <c r="AF254" s="42"/>
      <c r="AG254" s="42"/>
      <c r="AH254" s="42"/>
      <c r="AI254" s="42"/>
      <c r="AJ254" s="44"/>
      <c r="AK254" s="45"/>
      <c r="AL254" s="45"/>
      <c r="AM254" s="45"/>
      <c r="AN254" s="46"/>
      <c r="AO254" s="47"/>
      <c r="AP254" s="48"/>
      <c r="AQ254" s="48"/>
      <c r="AR254" s="48"/>
      <c r="AS254" s="48"/>
      <c r="AT254" s="49"/>
      <c r="AU254" s="50"/>
      <c r="AV254" s="51"/>
      <c r="AW254" s="51"/>
      <c r="AX254" s="52"/>
      <c r="AY254" s="53"/>
      <c r="AZ254" s="80"/>
      <c r="BA254" s="54"/>
      <c r="BB254" s="55"/>
      <c r="BC254" s="55"/>
      <c r="BD254" s="55"/>
      <c r="BE254" s="55"/>
      <c r="BF254" s="55"/>
      <c r="BG254" s="56"/>
      <c r="BH254" s="57"/>
      <c r="BI254" s="58"/>
      <c r="BJ254" s="58"/>
      <c r="BK254" s="58"/>
      <c r="BL254" s="58"/>
      <c r="BM254" s="58"/>
      <c r="BN254" s="58"/>
      <c r="BO254" s="58"/>
    </row>
    <row r="255" spans="1:67" ht="28.5" customHeight="1" x14ac:dyDescent="0.35">
      <c r="A255" s="66" t="s">
        <v>1344</v>
      </c>
      <c r="B255" s="66">
        <v>56089330441</v>
      </c>
      <c r="C255" s="66" t="s">
        <v>80</v>
      </c>
      <c r="D255" s="66" t="s">
        <v>1345</v>
      </c>
      <c r="E255" s="66" t="s">
        <v>365</v>
      </c>
      <c r="F255" s="66" t="s">
        <v>83</v>
      </c>
      <c r="G255" s="66">
        <v>2010</v>
      </c>
      <c r="H255" s="67" t="s">
        <v>1346</v>
      </c>
      <c r="I255" s="67" t="s">
        <v>1347</v>
      </c>
      <c r="J255" s="68" t="s">
        <v>1348</v>
      </c>
      <c r="K255" s="68" t="s">
        <v>1349</v>
      </c>
      <c r="L255" s="59"/>
      <c r="M255" s="60"/>
      <c r="N255" s="60"/>
      <c r="O255" s="60"/>
      <c r="P255" s="60"/>
      <c r="Q255" s="61"/>
      <c r="R255" s="32"/>
      <c r="S255" s="33"/>
      <c r="T255" s="33"/>
      <c r="U255" s="33"/>
      <c r="V255" s="34"/>
      <c r="W255" s="35"/>
      <c r="X255" s="36"/>
      <c r="Y255" s="36"/>
      <c r="Z255" s="36"/>
      <c r="AA255" s="37"/>
      <c r="AB255" s="38"/>
      <c r="AC255" s="39"/>
      <c r="AD255" s="40"/>
      <c r="AE255" s="41"/>
      <c r="AF255" s="42"/>
      <c r="AG255" s="42"/>
      <c r="AH255" s="42"/>
      <c r="AI255" s="42"/>
      <c r="AJ255" s="44"/>
      <c r="AK255" s="45"/>
      <c r="AL255" s="45"/>
      <c r="AM255" s="45"/>
      <c r="AN255" s="46"/>
      <c r="AO255" s="47"/>
      <c r="AP255" s="48"/>
      <c r="AQ255" s="48"/>
      <c r="AR255" s="48"/>
      <c r="AS255" s="48"/>
      <c r="AT255" s="49"/>
      <c r="AU255" s="50"/>
      <c r="AV255" s="51"/>
      <c r="AW255" s="51"/>
      <c r="AX255" s="52"/>
      <c r="AY255" s="53"/>
      <c r="AZ255" s="80"/>
      <c r="BA255" s="54"/>
      <c r="BB255" s="55"/>
      <c r="BC255" s="55"/>
      <c r="BD255" s="55" t="s">
        <v>87</v>
      </c>
      <c r="BE255" s="55" t="s">
        <v>87</v>
      </c>
      <c r="BF255" s="55" t="s">
        <v>87</v>
      </c>
      <c r="BG255" s="56"/>
      <c r="BH255" s="57" t="s">
        <v>87</v>
      </c>
      <c r="BI255" s="58" t="s">
        <v>87</v>
      </c>
      <c r="BJ255" s="58"/>
      <c r="BK255" s="58"/>
      <c r="BL255" s="58"/>
      <c r="BM255" s="58"/>
      <c r="BN255" s="58" t="s">
        <v>87</v>
      </c>
      <c r="BO255" s="58" t="s">
        <v>87</v>
      </c>
    </row>
    <row r="256" spans="1:67" ht="28.5" customHeight="1" x14ac:dyDescent="0.35">
      <c r="A256" s="69" t="s">
        <v>1350</v>
      </c>
      <c r="B256" s="69">
        <v>54644512596</v>
      </c>
      <c r="C256" s="69" t="s">
        <v>80</v>
      </c>
      <c r="D256" s="69" t="s">
        <v>1351</v>
      </c>
      <c r="E256" s="69" t="s">
        <v>90</v>
      </c>
      <c r="F256" s="69" t="s">
        <v>83</v>
      </c>
      <c r="G256" s="69">
        <v>2021</v>
      </c>
      <c r="H256" s="71" t="s">
        <v>1352</v>
      </c>
      <c r="I256" s="71" t="s">
        <v>1352</v>
      </c>
      <c r="J256" s="70" t="s">
        <v>1353</v>
      </c>
      <c r="K256" s="70" t="s">
        <v>1354</v>
      </c>
      <c r="L256" s="59"/>
      <c r="M256" s="60"/>
      <c r="N256" s="60"/>
      <c r="O256" s="60"/>
      <c r="P256" s="60"/>
      <c r="Q256" s="61"/>
      <c r="R256" s="32" t="s">
        <v>87</v>
      </c>
      <c r="S256" s="33" t="s">
        <v>87</v>
      </c>
      <c r="T256" s="33" t="s">
        <v>87</v>
      </c>
      <c r="U256" s="33" t="s">
        <v>87</v>
      </c>
      <c r="V256" s="34" t="s">
        <v>87</v>
      </c>
      <c r="W256" s="35" t="s">
        <v>87</v>
      </c>
      <c r="X256" s="36" t="s">
        <v>87</v>
      </c>
      <c r="Y256" s="36"/>
      <c r="Z256" s="36"/>
      <c r="AA256" s="37"/>
      <c r="AB256" s="38"/>
      <c r="AC256" s="39"/>
      <c r="AD256" s="40"/>
      <c r="AE256" s="41"/>
      <c r="AF256" s="42"/>
      <c r="AG256" s="42"/>
      <c r="AH256" s="42"/>
      <c r="AI256" s="42"/>
      <c r="AJ256" s="44"/>
      <c r="AK256" s="45"/>
      <c r="AL256" s="45"/>
      <c r="AM256" s="45"/>
      <c r="AN256" s="46"/>
      <c r="AO256" s="47"/>
      <c r="AP256" s="48"/>
      <c r="AQ256" s="48"/>
      <c r="AR256" s="48"/>
      <c r="AS256" s="48"/>
      <c r="AT256" s="49"/>
      <c r="AU256" s="50" t="s">
        <v>87</v>
      </c>
      <c r="AV256" s="51" t="s">
        <v>87</v>
      </c>
      <c r="AW256" s="51" t="s">
        <v>87</v>
      </c>
      <c r="AX256" s="52"/>
      <c r="AY256" s="53"/>
      <c r="AZ256" s="80"/>
      <c r="BA256" s="54"/>
      <c r="BB256" s="55"/>
      <c r="BC256" s="55"/>
      <c r="BD256" s="55"/>
      <c r="BE256" s="55"/>
      <c r="BF256" s="55"/>
      <c r="BG256" s="56"/>
      <c r="BH256" s="57"/>
      <c r="BI256" s="58"/>
      <c r="BJ256" s="58"/>
      <c r="BK256" s="58"/>
      <c r="BL256" s="58"/>
      <c r="BM256" s="58"/>
      <c r="BN256" s="58"/>
      <c r="BO256" s="58"/>
    </row>
    <row r="257" spans="1:67" ht="28.5" customHeight="1" x14ac:dyDescent="0.35">
      <c r="A257" s="66" t="s">
        <v>1355</v>
      </c>
      <c r="B257" s="66">
        <v>78143087852</v>
      </c>
      <c r="C257" s="66" t="s">
        <v>80</v>
      </c>
      <c r="D257" s="66" t="s">
        <v>1356</v>
      </c>
      <c r="E257" s="66" t="s">
        <v>1357</v>
      </c>
      <c r="F257" s="66" t="s">
        <v>83</v>
      </c>
      <c r="G257" s="66" t="str">
        <f>"2008"</f>
        <v>2008</v>
      </c>
      <c r="H257" s="66" t="str">
        <f>"02 9046 3710"</f>
        <v>02 9046 3710</v>
      </c>
      <c r="I257" s="66" t="str">
        <f>"0421162362"</f>
        <v>0421162362</v>
      </c>
      <c r="J257" s="68" t="s">
        <v>1358</v>
      </c>
      <c r="K257" s="68" t="s">
        <v>1359</v>
      </c>
      <c r="L257" s="59"/>
      <c r="M257" s="60"/>
      <c r="N257" s="60"/>
      <c r="O257" s="60"/>
      <c r="P257" s="60"/>
      <c r="Q257" s="61"/>
      <c r="R257" s="32"/>
      <c r="S257" s="33"/>
      <c r="T257" s="33"/>
      <c r="U257" s="33"/>
      <c r="V257" s="34"/>
      <c r="W257" s="35" t="s">
        <v>87</v>
      </c>
      <c r="X257" s="36" t="s">
        <v>87</v>
      </c>
      <c r="Y257" s="36" t="s">
        <v>87</v>
      </c>
      <c r="Z257" s="36"/>
      <c r="AA257" s="37" t="s">
        <v>87</v>
      </c>
      <c r="AB257" s="38"/>
      <c r="AC257" s="39"/>
      <c r="AD257" s="40"/>
      <c r="AE257" s="41" t="s">
        <v>87</v>
      </c>
      <c r="AF257" s="42" t="s">
        <v>87</v>
      </c>
      <c r="AG257" s="42" t="s">
        <v>87</v>
      </c>
      <c r="AH257" s="42" t="s">
        <v>87</v>
      </c>
      <c r="AI257" s="42" t="s">
        <v>87</v>
      </c>
      <c r="AJ257" s="44"/>
      <c r="AK257" s="45"/>
      <c r="AL257" s="45"/>
      <c r="AM257" s="45"/>
      <c r="AN257" s="46"/>
      <c r="AO257" s="47"/>
      <c r="AP257" s="48"/>
      <c r="AQ257" s="48"/>
      <c r="AR257" s="48"/>
      <c r="AS257" s="48"/>
      <c r="AT257" s="49"/>
      <c r="AU257" s="50"/>
      <c r="AV257" s="51"/>
      <c r="AW257" s="51"/>
      <c r="AX257" s="52"/>
      <c r="AY257" s="53"/>
      <c r="AZ257" s="80"/>
      <c r="BA257" s="54"/>
      <c r="BB257" s="55"/>
      <c r="BC257" s="55"/>
      <c r="BD257" s="55"/>
      <c r="BE257" s="55"/>
      <c r="BF257" s="55"/>
      <c r="BG257" s="56"/>
      <c r="BH257" s="57"/>
      <c r="BI257" s="58"/>
      <c r="BJ257" s="58"/>
      <c r="BK257" s="58"/>
      <c r="BL257" s="58"/>
      <c r="BM257" s="58"/>
      <c r="BN257" s="58"/>
      <c r="BO257" s="58"/>
    </row>
    <row r="258" spans="1:67" ht="28.5" customHeight="1" x14ac:dyDescent="0.35">
      <c r="A258" s="66" t="s">
        <v>1360</v>
      </c>
      <c r="B258" s="66">
        <v>16005728530</v>
      </c>
      <c r="C258" s="66" t="s">
        <v>80</v>
      </c>
      <c r="D258" s="66" t="s">
        <v>1361</v>
      </c>
      <c r="E258" s="66" t="s">
        <v>1362</v>
      </c>
      <c r="F258" s="66" t="s">
        <v>83</v>
      </c>
      <c r="G258" s="66">
        <v>2000</v>
      </c>
      <c r="H258" s="66" t="str">
        <f>"02 9237 2821"</f>
        <v>02 9237 2821</v>
      </c>
      <c r="I258" s="66" t="str">
        <f>"0466856460"</f>
        <v>0466856460</v>
      </c>
      <c r="J258" s="68" t="s">
        <v>1363</v>
      </c>
      <c r="K258" s="68" t="s">
        <v>1364</v>
      </c>
      <c r="L258" s="59"/>
      <c r="M258" s="60"/>
      <c r="N258" s="60"/>
      <c r="O258" s="60"/>
      <c r="P258" s="60"/>
      <c r="Q258" s="61"/>
      <c r="R258" s="32" t="s">
        <v>87</v>
      </c>
      <c r="S258" s="33" t="s">
        <v>87</v>
      </c>
      <c r="T258" s="33" t="s">
        <v>87</v>
      </c>
      <c r="U258" s="33" t="s">
        <v>87</v>
      </c>
      <c r="V258" s="34" t="s">
        <v>87</v>
      </c>
      <c r="W258" s="35"/>
      <c r="X258" s="36"/>
      <c r="Y258" s="36"/>
      <c r="Z258" s="36"/>
      <c r="AA258" s="37"/>
      <c r="AB258" s="38" t="s">
        <v>87</v>
      </c>
      <c r="AC258" s="39"/>
      <c r="AD258" s="40" t="s">
        <v>87</v>
      </c>
      <c r="AE258" s="41"/>
      <c r="AF258" s="42"/>
      <c r="AG258" s="42"/>
      <c r="AH258" s="42"/>
      <c r="AI258" s="42"/>
      <c r="AJ258" s="44"/>
      <c r="AK258" s="45"/>
      <c r="AL258" s="45"/>
      <c r="AM258" s="45"/>
      <c r="AN258" s="46"/>
      <c r="AO258" s="47"/>
      <c r="AP258" s="48"/>
      <c r="AQ258" s="48"/>
      <c r="AR258" s="48"/>
      <c r="AS258" s="48"/>
      <c r="AT258" s="49"/>
      <c r="AU258" s="50"/>
      <c r="AV258" s="51"/>
      <c r="AW258" s="51"/>
      <c r="AX258" s="52"/>
      <c r="AY258" s="53"/>
      <c r="AZ258" s="80"/>
      <c r="BA258" s="54"/>
      <c r="BB258" s="55"/>
      <c r="BC258" s="55"/>
      <c r="BD258" s="55"/>
      <c r="BE258" s="55"/>
      <c r="BF258" s="55"/>
      <c r="BG258" s="56"/>
      <c r="BH258" s="57"/>
      <c r="BI258" s="58"/>
      <c r="BJ258" s="58"/>
      <c r="BK258" s="58"/>
      <c r="BL258" s="58"/>
      <c r="BM258" s="58"/>
      <c r="BN258" s="58"/>
      <c r="BO258" s="58"/>
    </row>
    <row r="259" spans="1:67" ht="28.5" customHeight="1" x14ac:dyDescent="0.35">
      <c r="A259" s="66" t="s">
        <v>1365</v>
      </c>
      <c r="B259" s="66">
        <v>70624104632</v>
      </c>
      <c r="C259" s="66" t="s">
        <v>80</v>
      </c>
      <c r="D259" s="66" t="s">
        <v>1366</v>
      </c>
      <c r="E259" s="66" t="s">
        <v>132</v>
      </c>
      <c r="F259" s="66" t="s">
        <v>83</v>
      </c>
      <c r="G259" s="66">
        <v>2008</v>
      </c>
      <c r="H259" s="66"/>
      <c r="I259" s="67" t="s">
        <v>1367</v>
      </c>
      <c r="J259" s="68" t="s">
        <v>1368</v>
      </c>
      <c r="K259" s="68" t="s">
        <v>1369</v>
      </c>
      <c r="L259" s="59"/>
      <c r="M259" s="60"/>
      <c r="N259" s="60"/>
      <c r="O259" s="60"/>
      <c r="P259" s="60"/>
      <c r="Q259" s="61"/>
      <c r="R259" s="32"/>
      <c r="S259" s="33"/>
      <c r="T259" s="33"/>
      <c r="U259" s="33"/>
      <c r="V259" s="34"/>
      <c r="W259" s="35" t="s">
        <v>87</v>
      </c>
      <c r="X259" s="36" t="s">
        <v>87</v>
      </c>
      <c r="Y259" s="36"/>
      <c r="Z259" s="36"/>
      <c r="AA259" s="37" t="s">
        <v>87</v>
      </c>
      <c r="AB259" s="38"/>
      <c r="AC259" s="39"/>
      <c r="AD259" s="40"/>
      <c r="AE259" s="41" t="s">
        <v>87</v>
      </c>
      <c r="AF259" s="42" t="s">
        <v>87</v>
      </c>
      <c r="AG259" s="42" t="s">
        <v>87</v>
      </c>
      <c r="AH259" s="42" t="s">
        <v>87</v>
      </c>
      <c r="AI259" s="42" t="s">
        <v>87</v>
      </c>
      <c r="AJ259" s="44"/>
      <c r="AK259" s="45"/>
      <c r="AL259" s="45"/>
      <c r="AM259" s="45"/>
      <c r="AN259" s="46"/>
      <c r="AO259" s="47"/>
      <c r="AP259" s="48"/>
      <c r="AQ259" s="48"/>
      <c r="AR259" s="48"/>
      <c r="AS259" s="48"/>
      <c r="AT259" s="49"/>
      <c r="AU259" s="50"/>
      <c r="AV259" s="51"/>
      <c r="AW259" s="51"/>
      <c r="AX259" s="52"/>
      <c r="AY259" s="53"/>
      <c r="AZ259" s="80"/>
      <c r="BA259" s="54"/>
      <c r="BB259" s="55"/>
      <c r="BC259" s="55"/>
      <c r="BD259" s="55"/>
      <c r="BE259" s="55"/>
      <c r="BF259" s="55"/>
      <c r="BG259" s="56"/>
      <c r="BH259" s="57"/>
      <c r="BI259" s="58"/>
      <c r="BJ259" s="58"/>
      <c r="BK259" s="58"/>
      <c r="BL259" s="58"/>
      <c r="BM259" s="58"/>
      <c r="BN259" s="58"/>
      <c r="BO259" s="58"/>
    </row>
    <row r="260" spans="1:67" ht="28.5" customHeight="1" x14ac:dyDescent="0.35">
      <c r="A260" s="66" t="s">
        <v>1370</v>
      </c>
      <c r="B260" s="66">
        <v>36139106460</v>
      </c>
      <c r="C260" s="66" t="s">
        <v>80</v>
      </c>
      <c r="D260" s="66" t="s">
        <v>1371</v>
      </c>
      <c r="E260" s="66" t="s">
        <v>90</v>
      </c>
      <c r="F260" s="66" t="s">
        <v>83</v>
      </c>
      <c r="G260" s="66">
        <v>2795</v>
      </c>
      <c r="H260" s="66"/>
      <c r="I260" s="67" t="s">
        <v>1372</v>
      </c>
      <c r="J260" s="68" t="s">
        <v>1373</v>
      </c>
      <c r="K260" s="68" t="s">
        <v>1374</v>
      </c>
      <c r="L260" s="59"/>
      <c r="M260" s="60"/>
      <c r="N260" s="60"/>
      <c r="O260" s="60"/>
      <c r="P260" s="60"/>
      <c r="Q260" s="61"/>
      <c r="R260" s="32"/>
      <c r="S260" s="33"/>
      <c r="T260" s="33" t="s">
        <v>87</v>
      </c>
      <c r="U260" s="33"/>
      <c r="V260" s="34"/>
      <c r="W260" s="35"/>
      <c r="X260" s="36"/>
      <c r="Y260" s="36"/>
      <c r="Z260" s="36"/>
      <c r="AA260" s="37"/>
      <c r="AB260" s="38"/>
      <c r="AC260" s="39"/>
      <c r="AD260" s="40"/>
      <c r="AE260" s="41"/>
      <c r="AF260" s="42"/>
      <c r="AG260" s="42"/>
      <c r="AH260" s="42"/>
      <c r="AI260" s="42"/>
      <c r="AJ260" s="44"/>
      <c r="AK260" s="45"/>
      <c r="AL260" s="45"/>
      <c r="AM260" s="45"/>
      <c r="AN260" s="46"/>
      <c r="AO260" s="47"/>
      <c r="AP260" s="48"/>
      <c r="AQ260" s="48"/>
      <c r="AR260" s="48"/>
      <c r="AS260" s="48"/>
      <c r="AT260" s="49"/>
      <c r="AU260" s="50"/>
      <c r="AV260" s="51"/>
      <c r="AW260" s="51"/>
      <c r="AX260" s="52"/>
      <c r="AY260" s="53"/>
      <c r="AZ260" s="80"/>
      <c r="BA260" s="54"/>
      <c r="BB260" s="55"/>
      <c r="BC260" s="55"/>
      <c r="BD260" s="55" t="s">
        <v>87</v>
      </c>
      <c r="BE260" s="55"/>
      <c r="BF260" s="55"/>
      <c r="BG260" s="56"/>
      <c r="BH260" s="57"/>
      <c r="BI260" s="58"/>
      <c r="BJ260" s="58"/>
      <c r="BK260" s="58"/>
      <c r="BL260" s="58"/>
      <c r="BM260" s="58"/>
      <c r="BN260" s="58"/>
      <c r="BO260" s="58"/>
    </row>
    <row r="261" spans="1:67" ht="28.5" customHeight="1" x14ac:dyDescent="0.35">
      <c r="A261" s="66" t="s">
        <v>1375</v>
      </c>
      <c r="B261" s="66">
        <v>15614960397</v>
      </c>
      <c r="C261" s="66" t="s">
        <v>80</v>
      </c>
      <c r="D261" s="66" t="s">
        <v>1376</v>
      </c>
      <c r="E261" s="66" t="s">
        <v>1377</v>
      </c>
      <c r="F261" s="66" t="s">
        <v>83</v>
      </c>
      <c r="G261" s="66">
        <v>2016</v>
      </c>
      <c r="H261" s="66"/>
      <c r="I261" s="67" t="s">
        <v>1378</v>
      </c>
      <c r="J261" s="68" t="s">
        <v>1379</v>
      </c>
      <c r="K261" s="68" t="s">
        <v>1380</v>
      </c>
      <c r="L261" s="59"/>
      <c r="M261" s="60"/>
      <c r="N261" s="60"/>
      <c r="O261" s="60"/>
      <c r="P261" s="60"/>
      <c r="Q261" s="61"/>
      <c r="R261" s="32"/>
      <c r="S261" s="33"/>
      <c r="T261" s="33"/>
      <c r="U261" s="33"/>
      <c r="V261" s="34"/>
      <c r="W261" s="35"/>
      <c r="X261" s="36"/>
      <c r="Y261" s="36"/>
      <c r="Z261" s="36"/>
      <c r="AA261" s="37"/>
      <c r="AB261" s="38"/>
      <c r="AC261" s="39"/>
      <c r="AD261" s="40"/>
      <c r="AE261" s="41"/>
      <c r="AF261" s="42"/>
      <c r="AG261" s="42"/>
      <c r="AH261" s="42"/>
      <c r="AI261" s="42"/>
      <c r="AJ261" s="44"/>
      <c r="AK261" s="45"/>
      <c r="AL261" s="45"/>
      <c r="AM261" s="45"/>
      <c r="AN261" s="46"/>
      <c r="AO261" s="47"/>
      <c r="AP261" s="48"/>
      <c r="AQ261" s="48"/>
      <c r="AR261" s="48"/>
      <c r="AS261" s="48"/>
      <c r="AT261" s="49"/>
      <c r="AU261" s="50"/>
      <c r="AV261" s="51"/>
      <c r="AW261" s="51"/>
      <c r="AX261" s="52"/>
      <c r="AY261" s="53"/>
      <c r="AZ261" s="80"/>
      <c r="BA261" s="54"/>
      <c r="BB261" s="55"/>
      <c r="BC261" s="55"/>
      <c r="BD261" s="55"/>
      <c r="BE261" s="55"/>
      <c r="BF261" s="55"/>
      <c r="BG261" s="56"/>
      <c r="BH261" s="57"/>
      <c r="BI261" s="58" t="s">
        <v>87</v>
      </c>
      <c r="BJ261" s="58" t="s">
        <v>87</v>
      </c>
      <c r="BK261" s="58" t="s">
        <v>87</v>
      </c>
      <c r="BL261" s="58"/>
      <c r="BM261" s="58" t="s">
        <v>87</v>
      </c>
      <c r="BN261" s="58" t="s">
        <v>87</v>
      </c>
      <c r="BO261" s="58" t="s">
        <v>87</v>
      </c>
    </row>
    <row r="262" spans="1:67" ht="28.5" customHeight="1" x14ac:dyDescent="0.35">
      <c r="A262" s="66" t="s">
        <v>1381</v>
      </c>
      <c r="B262" s="66">
        <v>52159456685</v>
      </c>
      <c r="C262" s="66" t="s">
        <v>80</v>
      </c>
      <c r="D262" s="66" t="s">
        <v>1382</v>
      </c>
      <c r="E262" s="66" t="s">
        <v>1383</v>
      </c>
      <c r="F262" s="66" t="s">
        <v>83</v>
      </c>
      <c r="G262" s="66" t="str">
        <f>"2060"</f>
        <v>2060</v>
      </c>
      <c r="H262" s="66" t="str">
        <f>"02 8904 9991"</f>
        <v>02 8904 9991</v>
      </c>
      <c r="I262" s="66" t="str">
        <f>"0408887742"</f>
        <v>0408887742</v>
      </c>
      <c r="J262" s="68" t="s">
        <v>1384</v>
      </c>
      <c r="K262" s="68" t="s">
        <v>1385</v>
      </c>
      <c r="L262" s="59"/>
      <c r="M262" s="60"/>
      <c r="N262" s="60"/>
      <c r="O262" s="60"/>
      <c r="P262" s="60"/>
      <c r="Q262" s="61"/>
      <c r="R262" s="32"/>
      <c r="S262" s="33" t="s">
        <v>87</v>
      </c>
      <c r="T262" s="33"/>
      <c r="U262" s="33"/>
      <c r="V262" s="34"/>
      <c r="W262" s="35"/>
      <c r="X262" s="36"/>
      <c r="Y262" s="36"/>
      <c r="Z262" s="36"/>
      <c r="AA262" s="37"/>
      <c r="AB262" s="38"/>
      <c r="AC262" s="39"/>
      <c r="AD262" s="40"/>
      <c r="AE262" s="41"/>
      <c r="AF262" s="42"/>
      <c r="AG262" s="42"/>
      <c r="AH262" s="42"/>
      <c r="AI262" s="43"/>
      <c r="AJ262" s="44"/>
      <c r="AK262" s="45"/>
      <c r="AL262" s="45"/>
      <c r="AM262" s="45"/>
      <c r="AN262" s="46"/>
      <c r="AO262" s="47"/>
      <c r="AP262" s="48"/>
      <c r="AQ262" s="48"/>
      <c r="AR262" s="48"/>
      <c r="AS262" s="48"/>
      <c r="AT262" s="49"/>
      <c r="AU262" s="50"/>
      <c r="AV262" s="51"/>
      <c r="AW262" s="51"/>
      <c r="AX262" s="52"/>
      <c r="AY262" s="53"/>
      <c r="AZ262" s="80"/>
      <c r="BA262" s="54"/>
      <c r="BB262" s="55"/>
      <c r="BC262" s="55"/>
      <c r="BD262" s="55"/>
      <c r="BE262" s="55"/>
      <c r="BF262" s="55"/>
      <c r="BG262" s="56"/>
      <c r="BH262" s="57"/>
      <c r="BI262" s="58"/>
      <c r="BJ262" s="58"/>
      <c r="BK262" s="58"/>
      <c r="BL262" s="58"/>
      <c r="BM262" s="58"/>
      <c r="BN262" s="58"/>
      <c r="BO262" s="58"/>
    </row>
    <row r="263" spans="1:67" ht="28.5" customHeight="1" x14ac:dyDescent="0.35">
      <c r="A263" s="66" t="s">
        <v>1386</v>
      </c>
      <c r="B263" s="66">
        <v>37034186688</v>
      </c>
      <c r="C263" s="66" t="s">
        <v>80</v>
      </c>
      <c r="D263" s="66" t="s">
        <v>1387</v>
      </c>
      <c r="E263" s="66" t="s">
        <v>930</v>
      </c>
      <c r="F263" s="66" t="s">
        <v>83</v>
      </c>
      <c r="G263" s="66" t="str">
        <f>"2500"</f>
        <v>2500</v>
      </c>
      <c r="H263" s="66" t="str">
        <f>"02 4285 3545"</f>
        <v>02 4285 3545</v>
      </c>
      <c r="I263" s="66" t="str">
        <f>"0418452088"</f>
        <v>0418452088</v>
      </c>
      <c r="J263" s="68" t="s">
        <v>1388</v>
      </c>
      <c r="K263" s="68" t="s">
        <v>1389</v>
      </c>
      <c r="L263" s="59"/>
      <c r="M263" s="60"/>
      <c r="N263" s="60"/>
      <c r="O263" s="60"/>
      <c r="P263" s="60"/>
      <c r="Q263" s="61"/>
      <c r="R263" s="32"/>
      <c r="S263" s="33"/>
      <c r="T263" s="33"/>
      <c r="U263" s="33"/>
      <c r="V263" s="34"/>
      <c r="W263" s="35"/>
      <c r="X263" s="36"/>
      <c r="Y263" s="36"/>
      <c r="Z263" s="36"/>
      <c r="AA263" s="37"/>
      <c r="AB263" s="38"/>
      <c r="AC263" s="39"/>
      <c r="AD263" s="40"/>
      <c r="AE263" s="41" t="s">
        <v>87</v>
      </c>
      <c r="AF263" s="42" t="s">
        <v>87</v>
      </c>
      <c r="AG263" s="42" t="s">
        <v>87</v>
      </c>
      <c r="AH263" s="42" t="s">
        <v>87</v>
      </c>
      <c r="AI263" s="43" t="s">
        <v>87</v>
      </c>
      <c r="AJ263" s="44"/>
      <c r="AK263" s="45"/>
      <c r="AL263" s="45"/>
      <c r="AM263" s="45"/>
      <c r="AN263" s="46"/>
      <c r="AO263" s="47" t="s">
        <v>87</v>
      </c>
      <c r="AP263" s="48" t="s">
        <v>87</v>
      </c>
      <c r="AQ263" s="48" t="s">
        <v>87</v>
      </c>
      <c r="AR263" s="48" t="s">
        <v>87</v>
      </c>
      <c r="AS263" s="48" t="s">
        <v>87</v>
      </c>
      <c r="AT263" s="49" t="s">
        <v>87</v>
      </c>
      <c r="AU263" s="50"/>
      <c r="AV263" s="51"/>
      <c r="AW263" s="51"/>
      <c r="AX263" s="52"/>
      <c r="AY263" s="53"/>
      <c r="AZ263" s="80"/>
      <c r="BA263" s="54"/>
      <c r="BB263" s="55"/>
      <c r="BC263" s="55"/>
      <c r="BD263" s="55"/>
      <c r="BE263" s="55"/>
      <c r="BF263" s="55"/>
      <c r="BG263" s="56"/>
      <c r="BH263" s="57" t="s">
        <v>87</v>
      </c>
      <c r="BI263" s="58" t="s">
        <v>87</v>
      </c>
      <c r="BJ263" s="58" t="s">
        <v>87</v>
      </c>
      <c r="BK263" s="58" t="s">
        <v>87</v>
      </c>
      <c r="BL263" s="58" t="s">
        <v>87</v>
      </c>
      <c r="BM263" s="58" t="s">
        <v>87</v>
      </c>
      <c r="BN263" s="58" t="s">
        <v>87</v>
      </c>
      <c r="BO263" s="58" t="s">
        <v>87</v>
      </c>
    </row>
    <row r="264" spans="1:67" ht="28.5" customHeight="1" x14ac:dyDescent="0.35">
      <c r="A264" s="66" t="s">
        <v>1390</v>
      </c>
      <c r="B264" s="66">
        <v>77168408400</v>
      </c>
      <c r="C264" s="66" t="s">
        <v>80</v>
      </c>
      <c r="D264" s="66" t="s">
        <v>1391</v>
      </c>
      <c r="E264" s="66" t="s">
        <v>1392</v>
      </c>
      <c r="F264" s="66" t="s">
        <v>107</v>
      </c>
      <c r="G264" s="66" t="str">
        <f>"2601"</f>
        <v>2601</v>
      </c>
      <c r="H264" s="66" t="str">
        <f>"02 6210 1400"</f>
        <v>02 6210 1400</v>
      </c>
      <c r="I264" s="66" t="str">
        <f>"0409224861"</f>
        <v>0409224861</v>
      </c>
      <c r="J264" s="68" t="s">
        <v>1393</v>
      </c>
      <c r="K264" s="68" t="s">
        <v>1394</v>
      </c>
      <c r="L264" s="59"/>
      <c r="M264" s="60"/>
      <c r="N264" s="60"/>
      <c r="O264" s="60"/>
      <c r="P264" s="60"/>
      <c r="Q264" s="61"/>
      <c r="R264" s="32"/>
      <c r="S264" s="33"/>
      <c r="T264" s="33"/>
      <c r="U264" s="33"/>
      <c r="V264" s="34"/>
      <c r="W264" s="35"/>
      <c r="X264" s="36"/>
      <c r="Y264" s="36"/>
      <c r="Z264" s="36"/>
      <c r="AA264" s="37"/>
      <c r="AB264" s="38"/>
      <c r="AC264" s="39"/>
      <c r="AD264" s="40"/>
      <c r="AE264" s="41"/>
      <c r="AF264" s="42" t="s">
        <v>87</v>
      </c>
      <c r="AG264" s="42"/>
      <c r="AH264" s="42"/>
      <c r="AI264" s="43"/>
      <c r="AJ264" s="44"/>
      <c r="AK264" s="45"/>
      <c r="AL264" s="45"/>
      <c r="AM264" s="45"/>
      <c r="AN264" s="46"/>
      <c r="AO264" s="47"/>
      <c r="AP264" s="48"/>
      <c r="AQ264" s="48"/>
      <c r="AR264" s="48"/>
      <c r="AS264" s="48"/>
      <c r="AT264" s="49"/>
      <c r="AU264" s="50"/>
      <c r="AV264" s="51"/>
      <c r="AW264" s="51"/>
      <c r="AX264" s="52"/>
      <c r="AY264" s="53"/>
      <c r="AZ264" s="80"/>
      <c r="BA264" s="54"/>
      <c r="BB264" s="55"/>
      <c r="BC264" s="55"/>
      <c r="BD264" s="55"/>
      <c r="BE264" s="55"/>
      <c r="BF264" s="55"/>
      <c r="BG264" s="56"/>
      <c r="BH264" s="57" t="s">
        <v>87</v>
      </c>
      <c r="BI264" s="58" t="s">
        <v>87</v>
      </c>
      <c r="BJ264" s="58" t="s">
        <v>87</v>
      </c>
      <c r="BK264" s="58" t="s">
        <v>87</v>
      </c>
      <c r="BL264" s="58" t="s">
        <v>87</v>
      </c>
      <c r="BM264" s="58" t="s">
        <v>87</v>
      </c>
      <c r="BN264" s="58" t="s">
        <v>87</v>
      </c>
      <c r="BO264" s="58" t="s">
        <v>87</v>
      </c>
    </row>
    <row r="265" spans="1:67" ht="28.5" customHeight="1" x14ac:dyDescent="0.35">
      <c r="A265" s="66" t="s">
        <v>1395</v>
      </c>
      <c r="B265" s="66">
        <v>54738720964</v>
      </c>
      <c r="C265" s="66" t="s">
        <v>80</v>
      </c>
      <c r="D265" s="66" t="s">
        <v>1396</v>
      </c>
      <c r="E265" s="66" t="s">
        <v>1397</v>
      </c>
      <c r="F265" s="66" t="s">
        <v>83</v>
      </c>
      <c r="G265" s="66">
        <v>2081</v>
      </c>
      <c r="H265" s="67" t="s">
        <v>1398</v>
      </c>
      <c r="I265" s="67" t="s">
        <v>1399</v>
      </c>
      <c r="J265" s="68" t="s">
        <v>1400</v>
      </c>
      <c r="K265" s="66" t="s">
        <v>1401</v>
      </c>
      <c r="L265" s="59"/>
      <c r="M265" s="60"/>
      <c r="N265" s="60"/>
      <c r="O265" s="60"/>
      <c r="P265" s="60"/>
      <c r="Q265" s="61"/>
      <c r="R265" s="32"/>
      <c r="S265" s="33"/>
      <c r="T265" s="33"/>
      <c r="U265" s="33"/>
      <c r="V265" s="34"/>
      <c r="W265" s="35"/>
      <c r="X265" s="36"/>
      <c r="Y265" s="36"/>
      <c r="Z265" s="36"/>
      <c r="AA265" s="37"/>
      <c r="AB265" s="38"/>
      <c r="AC265" s="39"/>
      <c r="AD265" s="40"/>
      <c r="AE265" s="41"/>
      <c r="AF265" s="42"/>
      <c r="AG265" s="42"/>
      <c r="AH265" s="42"/>
      <c r="AI265" s="43"/>
      <c r="AJ265" s="44"/>
      <c r="AK265" s="45"/>
      <c r="AL265" s="45"/>
      <c r="AM265" s="45"/>
      <c r="AN265" s="46"/>
      <c r="AO265" s="47"/>
      <c r="AP265" s="48"/>
      <c r="AQ265" s="48"/>
      <c r="AR265" s="48"/>
      <c r="AS265" s="48"/>
      <c r="AT265" s="49"/>
      <c r="AU265" s="50"/>
      <c r="AV265" s="51"/>
      <c r="AW265" s="51"/>
      <c r="AX265" s="52"/>
      <c r="AY265" s="53"/>
      <c r="AZ265" s="80"/>
      <c r="BA265" s="54"/>
      <c r="BB265" s="55"/>
      <c r="BC265" s="55"/>
      <c r="BD265" s="55"/>
      <c r="BE265" s="55"/>
      <c r="BF265" s="55"/>
      <c r="BG265" s="56"/>
      <c r="BH265" s="57"/>
      <c r="BI265" s="58"/>
      <c r="BJ265" s="58"/>
      <c r="BK265" s="58"/>
      <c r="BL265" s="58"/>
      <c r="BM265" s="58"/>
      <c r="BN265" s="58" t="s">
        <v>87</v>
      </c>
      <c r="BO265" s="58"/>
    </row>
    <row r="266" spans="1:67" ht="28.5" customHeight="1" x14ac:dyDescent="0.35">
      <c r="A266" s="66" t="s">
        <v>1402</v>
      </c>
      <c r="B266" s="66">
        <v>26140291434</v>
      </c>
      <c r="C266" s="66" t="s">
        <v>80</v>
      </c>
      <c r="D266" s="66" t="s">
        <v>1403</v>
      </c>
      <c r="E266" s="66" t="s">
        <v>132</v>
      </c>
      <c r="F266" s="66" t="s">
        <v>83</v>
      </c>
      <c r="G266" s="66" t="str">
        <f>"2000"</f>
        <v>2000</v>
      </c>
      <c r="H266" s="66" t="str">
        <f>"02 8114 9900"</f>
        <v>02 8114 9900</v>
      </c>
      <c r="I266" s="66" t="str">
        <f>"0414426636"</f>
        <v>0414426636</v>
      </c>
      <c r="J266" s="68" t="s">
        <v>1404</v>
      </c>
      <c r="K266" s="68" t="s">
        <v>1405</v>
      </c>
      <c r="L266" s="59"/>
      <c r="M266" s="60"/>
      <c r="N266" s="60"/>
      <c r="O266" s="60"/>
      <c r="P266" s="60"/>
      <c r="Q266" s="61"/>
      <c r="R266" s="32" t="s">
        <v>87</v>
      </c>
      <c r="S266" s="33" t="s">
        <v>87</v>
      </c>
      <c r="T266" s="33"/>
      <c r="U266" s="33"/>
      <c r="V266" s="34"/>
      <c r="W266" s="35"/>
      <c r="X266" s="36" t="s">
        <v>87</v>
      </c>
      <c r="Y266" s="36"/>
      <c r="Z266" s="36" t="s">
        <v>87</v>
      </c>
      <c r="AA266" s="37"/>
      <c r="AB266" s="38"/>
      <c r="AC266" s="39"/>
      <c r="AD266" s="40"/>
      <c r="AE266" s="41"/>
      <c r="AF266" s="42"/>
      <c r="AG266" s="42"/>
      <c r="AH266" s="42"/>
      <c r="AI266" s="43"/>
      <c r="AJ266" s="44"/>
      <c r="AK266" s="45"/>
      <c r="AL266" s="45"/>
      <c r="AM266" s="45"/>
      <c r="AN266" s="46"/>
      <c r="AO266" s="47"/>
      <c r="AP266" s="48"/>
      <c r="AQ266" s="48"/>
      <c r="AR266" s="48"/>
      <c r="AS266" s="48"/>
      <c r="AT266" s="49"/>
      <c r="AU266" s="50"/>
      <c r="AV266" s="51"/>
      <c r="AW266" s="51"/>
      <c r="AX266" s="52"/>
      <c r="AY266" s="53"/>
      <c r="AZ266" s="80"/>
      <c r="BA266" s="54"/>
      <c r="BB266" s="55"/>
      <c r="BC266" s="55"/>
      <c r="BD266" s="55"/>
      <c r="BE266" s="55"/>
      <c r="BF266" s="55"/>
      <c r="BG266" s="56"/>
      <c r="BH266" s="57"/>
      <c r="BI266" s="58"/>
      <c r="BJ266" s="58"/>
      <c r="BK266" s="58"/>
      <c r="BL266" s="58"/>
      <c r="BM266" s="58"/>
      <c r="BN266" s="58"/>
      <c r="BO266" s="58"/>
    </row>
    <row r="267" spans="1:67" ht="28.5" customHeight="1" x14ac:dyDescent="0.35">
      <c r="A267" s="66" t="s">
        <v>1406</v>
      </c>
      <c r="B267" s="66">
        <v>47056510868</v>
      </c>
      <c r="C267" s="66" t="s">
        <v>80</v>
      </c>
      <c r="D267" s="66" t="s">
        <v>1407</v>
      </c>
      <c r="E267" s="66" t="s">
        <v>1408</v>
      </c>
      <c r="F267" s="66" t="s">
        <v>83</v>
      </c>
      <c r="G267" s="66">
        <v>2060</v>
      </c>
      <c r="H267" s="66" t="str">
        <f>"02 9947 2222"</f>
        <v>02 9947 2222</v>
      </c>
      <c r="I267" s="66" t="str">
        <f>"0410563639"</f>
        <v>0410563639</v>
      </c>
      <c r="J267" s="68" t="s">
        <v>1409</v>
      </c>
      <c r="K267" s="68" t="s">
        <v>1410</v>
      </c>
      <c r="L267" s="59"/>
      <c r="M267" s="60"/>
      <c r="N267" s="60"/>
      <c r="O267" s="60"/>
      <c r="P267" s="60"/>
      <c r="Q267" s="60"/>
      <c r="R267" s="32" t="s">
        <v>87</v>
      </c>
      <c r="S267" s="33" t="s">
        <v>87</v>
      </c>
      <c r="T267" s="33" t="s">
        <v>87</v>
      </c>
      <c r="U267" s="33" t="s">
        <v>87</v>
      </c>
      <c r="V267" s="34" t="s">
        <v>87</v>
      </c>
      <c r="W267" s="35" t="s">
        <v>87</v>
      </c>
      <c r="X267" s="36" t="s">
        <v>87</v>
      </c>
      <c r="Y267" s="36" t="s">
        <v>87</v>
      </c>
      <c r="Z267" s="36" t="s">
        <v>87</v>
      </c>
      <c r="AA267" s="37" t="s">
        <v>87</v>
      </c>
      <c r="AB267" s="38"/>
      <c r="AC267" s="39"/>
      <c r="AD267" s="40"/>
      <c r="AE267" s="41"/>
      <c r="AF267" s="42"/>
      <c r="AG267" s="42"/>
      <c r="AH267" s="42"/>
      <c r="AI267" s="43"/>
      <c r="AJ267" s="44"/>
      <c r="AK267" s="45"/>
      <c r="AL267" s="45"/>
      <c r="AM267" s="45"/>
      <c r="AN267" s="46"/>
      <c r="AO267" s="47"/>
      <c r="AP267" s="48"/>
      <c r="AQ267" s="48"/>
      <c r="AR267" s="48"/>
      <c r="AS267" s="48"/>
      <c r="AT267" s="49"/>
      <c r="AU267" s="50"/>
      <c r="AV267" s="51"/>
      <c r="AW267" s="51"/>
      <c r="AX267" s="52"/>
      <c r="AY267" s="53"/>
      <c r="AZ267" s="80"/>
      <c r="BA267" s="54"/>
      <c r="BB267" s="55"/>
      <c r="BC267" s="55" t="s">
        <v>87</v>
      </c>
      <c r="BD267" s="55" t="s">
        <v>87</v>
      </c>
      <c r="BE267" s="55" t="s">
        <v>87</v>
      </c>
      <c r="BF267" s="55"/>
      <c r="BG267" s="56"/>
      <c r="BH267" s="57"/>
      <c r="BI267" s="58"/>
      <c r="BJ267" s="58"/>
      <c r="BK267" s="58"/>
      <c r="BL267" s="58"/>
      <c r="BM267" s="58"/>
      <c r="BN267" s="58"/>
      <c r="BO267" s="58"/>
    </row>
    <row r="268" spans="1:67" ht="28.5" customHeight="1" x14ac:dyDescent="0.35">
      <c r="A268" s="66" t="s">
        <v>1411</v>
      </c>
      <c r="B268" s="66">
        <v>97641035869</v>
      </c>
      <c r="C268" s="66" t="s">
        <v>80</v>
      </c>
      <c r="D268" s="66" t="s">
        <v>1412</v>
      </c>
      <c r="E268" s="66" t="s">
        <v>1152</v>
      </c>
      <c r="F268" s="66" t="s">
        <v>83</v>
      </c>
      <c r="G268" s="66">
        <f>2009</f>
        <v>2009</v>
      </c>
      <c r="H268" s="66"/>
      <c r="I268" s="67" t="s">
        <v>1413</v>
      </c>
      <c r="J268" s="68" t="s">
        <v>1414</v>
      </c>
      <c r="K268" s="68" t="s">
        <v>1415</v>
      </c>
      <c r="L268" s="59"/>
      <c r="M268" s="60"/>
      <c r="N268" s="60"/>
      <c r="O268" s="60"/>
      <c r="P268" s="60"/>
      <c r="Q268" s="60"/>
      <c r="R268" s="32"/>
      <c r="S268" s="33" t="s">
        <v>87</v>
      </c>
      <c r="T268" s="33"/>
      <c r="U268" s="33"/>
      <c r="V268" s="34" t="s">
        <v>87</v>
      </c>
      <c r="W268" s="35"/>
      <c r="X268" s="36"/>
      <c r="Y268" s="36"/>
      <c r="Z268" s="36"/>
      <c r="AA268" s="37"/>
      <c r="AB268" s="38"/>
      <c r="AC268" s="39"/>
      <c r="AD268" s="40"/>
      <c r="AE268" s="41"/>
      <c r="AF268" s="42"/>
      <c r="AG268" s="42"/>
      <c r="AH268" s="42"/>
      <c r="AI268" s="43"/>
      <c r="AJ268" s="44"/>
      <c r="AK268" s="45"/>
      <c r="AL268" s="45"/>
      <c r="AM268" s="45"/>
      <c r="AN268" s="46"/>
      <c r="AO268" s="47"/>
      <c r="AP268" s="48"/>
      <c r="AQ268" s="48"/>
      <c r="AR268" s="48"/>
      <c r="AS268" s="48"/>
      <c r="AT268" s="49"/>
      <c r="AU268" s="50" t="s">
        <v>87</v>
      </c>
      <c r="AV268" s="51" t="s">
        <v>87</v>
      </c>
      <c r="AW268" s="51" t="s">
        <v>87</v>
      </c>
      <c r="AX268" s="52" t="s">
        <v>87</v>
      </c>
      <c r="AY268" s="53"/>
      <c r="AZ268" s="80"/>
      <c r="BA268" s="54"/>
      <c r="BB268" s="55"/>
      <c r="BC268" s="55"/>
      <c r="BD268" s="55"/>
      <c r="BE268" s="55"/>
      <c r="BF268" s="55"/>
      <c r="BG268" s="56"/>
      <c r="BH268" s="57" t="s">
        <v>87</v>
      </c>
      <c r="BI268" s="58" t="s">
        <v>87</v>
      </c>
      <c r="BJ268" s="58"/>
      <c r="BK268" s="58"/>
      <c r="BL268" s="58" t="s">
        <v>87</v>
      </c>
      <c r="BM268" s="58"/>
      <c r="BN268" s="58" t="s">
        <v>87</v>
      </c>
      <c r="BO268" s="58" t="s">
        <v>87</v>
      </c>
    </row>
    <row r="269" spans="1:67" ht="28.5" customHeight="1" x14ac:dyDescent="0.35">
      <c r="A269" s="66" t="s">
        <v>1416</v>
      </c>
      <c r="B269" s="66">
        <v>94163367020</v>
      </c>
      <c r="C269" s="66" t="s">
        <v>80</v>
      </c>
      <c r="D269" s="66" t="s">
        <v>1417</v>
      </c>
      <c r="E269" s="66" t="s">
        <v>90</v>
      </c>
      <c r="F269" s="66" t="s">
        <v>83</v>
      </c>
      <c r="G269" s="66" t="str">
        <f>"2000"</f>
        <v>2000</v>
      </c>
      <c r="H269" s="66" t="str">
        <f>"02 9221 3219"</f>
        <v>02 9221 3219</v>
      </c>
      <c r="I269" s="66" t="str">
        <f>"0410528245"</f>
        <v>0410528245</v>
      </c>
      <c r="J269" s="68" t="s">
        <v>1418</v>
      </c>
      <c r="K269" s="68" t="s">
        <v>1419</v>
      </c>
      <c r="L269" s="59"/>
      <c r="M269" s="60"/>
      <c r="N269" s="60"/>
      <c r="O269" s="60"/>
      <c r="P269" s="60"/>
      <c r="Q269" s="60"/>
      <c r="R269" s="32"/>
      <c r="S269" s="33"/>
      <c r="T269" s="33" t="s">
        <v>87</v>
      </c>
      <c r="U269" s="33" t="s">
        <v>87</v>
      </c>
      <c r="V269" s="34"/>
      <c r="W269" s="35"/>
      <c r="X269" s="36" t="s">
        <v>87</v>
      </c>
      <c r="Y269" s="36" t="s">
        <v>87</v>
      </c>
      <c r="Z269" s="36"/>
      <c r="AA269" s="37"/>
      <c r="AB269" s="38"/>
      <c r="AC269" s="39"/>
      <c r="AD269" s="40"/>
      <c r="AE269" s="41"/>
      <c r="AF269" s="42"/>
      <c r="AG269" s="42"/>
      <c r="AH269" s="42"/>
      <c r="AI269" s="43"/>
      <c r="AJ269" s="44"/>
      <c r="AK269" s="45"/>
      <c r="AL269" s="45"/>
      <c r="AM269" s="45"/>
      <c r="AN269" s="46"/>
      <c r="AO269" s="47"/>
      <c r="AP269" s="48"/>
      <c r="AQ269" s="48"/>
      <c r="AR269" s="48"/>
      <c r="AS269" s="48"/>
      <c r="AT269" s="49"/>
      <c r="AU269" s="50"/>
      <c r="AV269" s="51"/>
      <c r="AW269" s="51"/>
      <c r="AX269" s="52"/>
      <c r="AY269" s="53"/>
      <c r="AZ269" s="80"/>
      <c r="BA269" s="54"/>
      <c r="BB269" s="55" t="s">
        <v>87</v>
      </c>
      <c r="BC269" s="55"/>
      <c r="BD269" s="55"/>
      <c r="BE269" s="55"/>
      <c r="BF269" s="55" t="s">
        <v>87</v>
      </c>
      <c r="BG269" s="56"/>
      <c r="BH269" s="57"/>
      <c r="BI269" s="58"/>
      <c r="BJ269" s="58"/>
      <c r="BK269" s="58"/>
      <c r="BL269" s="58"/>
      <c r="BM269" s="58"/>
      <c r="BN269" s="58"/>
      <c r="BO269" s="58"/>
    </row>
    <row r="270" spans="1:67" ht="28.5" customHeight="1" x14ac:dyDescent="0.35">
      <c r="A270" s="66" t="s">
        <v>1420</v>
      </c>
      <c r="B270" s="66">
        <v>42092197469</v>
      </c>
      <c r="C270" s="66" t="s">
        <v>80</v>
      </c>
      <c r="D270" s="66" t="s">
        <v>1421</v>
      </c>
      <c r="E270" s="66" t="s">
        <v>299</v>
      </c>
      <c r="F270" s="66" t="s">
        <v>83</v>
      </c>
      <c r="G270" s="66" t="str">
        <f>"2018"</f>
        <v>2018</v>
      </c>
      <c r="H270" s="66" t="str">
        <f>"02 9212 6777"</f>
        <v>02 9212 6777</v>
      </c>
      <c r="I270" s="66" t="str">
        <f>"0422551990"</f>
        <v>0422551990</v>
      </c>
      <c r="J270" s="68" t="s">
        <v>1422</v>
      </c>
      <c r="K270" s="68" t="s">
        <v>1423</v>
      </c>
      <c r="L270" s="59"/>
      <c r="M270" s="60"/>
      <c r="N270" s="60"/>
      <c r="O270" s="60"/>
      <c r="P270" s="60"/>
      <c r="Q270" s="61"/>
      <c r="R270" s="32"/>
      <c r="S270" s="33"/>
      <c r="T270" s="33"/>
      <c r="U270" s="33"/>
      <c r="V270" s="34"/>
      <c r="W270" s="35"/>
      <c r="X270" s="36"/>
      <c r="Y270" s="36"/>
      <c r="Z270" s="36"/>
      <c r="AA270" s="37"/>
      <c r="AB270" s="38"/>
      <c r="AC270" s="39"/>
      <c r="AD270" s="40"/>
      <c r="AE270" s="41"/>
      <c r="AF270" s="42"/>
      <c r="AG270" s="42"/>
      <c r="AH270" s="42"/>
      <c r="AI270" s="43"/>
      <c r="AJ270" s="44"/>
      <c r="AK270" s="45"/>
      <c r="AL270" s="45"/>
      <c r="AM270" s="45"/>
      <c r="AN270" s="46"/>
      <c r="AO270" s="47"/>
      <c r="AP270" s="48"/>
      <c r="AQ270" s="48"/>
      <c r="AR270" s="48"/>
      <c r="AS270" s="48"/>
      <c r="AT270" s="49"/>
      <c r="AU270" s="50"/>
      <c r="AV270" s="51"/>
      <c r="AW270" s="51"/>
      <c r="AX270" s="52"/>
      <c r="AY270" s="53"/>
      <c r="AZ270" s="80"/>
      <c r="BA270" s="54"/>
      <c r="BB270" s="55"/>
      <c r="BC270" s="55"/>
      <c r="BD270" s="55"/>
      <c r="BE270" s="55"/>
      <c r="BF270" s="55"/>
      <c r="BG270" s="56"/>
      <c r="BH270" s="57" t="s">
        <v>87</v>
      </c>
      <c r="BI270" s="58" t="s">
        <v>87</v>
      </c>
      <c r="BJ270" s="58"/>
      <c r="BK270" s="58"/>
      <c r="BL270" s="58" t="s">
        <v>87</v>
      </c>
      <c r="BM270" s="58" t="s">
        <v>87</v>
      </c>
      <c r="BN270" s="58" t="s">
        <v>87</v>
      </c>
      <c r="BO270" s="58" t="s">
        <v>87</v>
      </c>
    </row>
  </sheetData>
  <autoFilter ref="A2:BO265" xr:uid="{D1549CD3-C0F1-4C66-B6E1-C24EB77A284B}">
    <filterColumn colId="11" showButton="0"/>
    <filterColumn colId="12" showButton="0"/>
    <filterColumn colId="13" showButton="0"/>
    <filterColumn colId="14" showButton="0"/>
    <filterColumn colId="15" showButton="0"/>
    <filterColumn colId="17" showButton="0"/>
    <filterColumn colId="18" showButton="0"/>
    <filterColumn colId="19" showButton="0"/>
    <filterColumn colId="20" showButton="0"/>
    <filterColumn colId="22" showButton="0"/>
    <filterColumn colId="23" showButton="0"/>
    <filterColumn colId="24" showButton="0"/>
    <filterColumn colId="25" showButton="0"/>
    <filterColumn colId="27" showButton="0"/>
    <filterColumn colId="28" showButton="0"/>
    <filterColumn colId="30" showButton="0"/>
    <filterColumn colId="31" showButton="0"/>
    <filterColumn colId="32" showButton="0"/>
    <filterColumn colId="33" showButton="0"/>
    <filterColumn colId="35" showButton="0"/>
    <filterColumn colId="36" showButton="0"/>
    <filterColumn colId="37" showButton="0"/>
    <filterColumn colId="38" showButton="0"/>
    <filterColumn colId="40" showButton="0"/>
    <filterColumn colId="41" showButton="0"/>
    <filterColumn colId="42" showButton="0"/>
    <filterColumn colId="43" showButton="0"/>
    <filterColumn colId="44" showButton="0"/>
    <filterColumn colId="46" showButton="0"/>
    <filterColumn colId="47" showButton="0"/>
    <filterColumn colId="48" showButton="0"/>
    <filterColumn colId="50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59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</autoFilter>
  <sortState xmlns:xlrd2="http://schemas.microsoft.com/office/spreadsheetml/2017/richdata2" ref="A4:BO270">
    <sortCondition sortBy="cellColor" ref="A4:A270" dxfId="1"/>
    <sortCondition sortBy="cellColor" ref="A4:A270" dxfId="0"/>
    <sortCondition ref="A4:A270"/>
  </sortState>
  <mergeCells count="22">
    <mergeCell ref="BH2:BO2"/>
    <mergeCell ref="L2:Q2"/>
    <mergeCell ref="R2:V2"/>
    <mergeCell ref="W2:AA2"/>
    <mergeCell ref="AB2:AD2"/>
    <mergeCell ref="AE2:AI2"/>
    <mergeCell ref="AJ2:AN2"/>
    <mergeCell ref="AO2:AT2"/>
    <mergeCell ref="AU2:AX2"/>
    <mergeCell ref="AY2:AZ2"/>
    <mergeCell ref="BA2:BG2"/>
    <mergeCell ref="A2:A3"/>
    <mergeCell ref="B2:B3"/>
    <mergeCell ref="C2:C3"/>
    <mergeCell ref="D2:D3"/>
    <mergeCell ref="E2:E3"/>
    <mergeCell ref="K2:K3"/>
    <mergeCell ref="F2:F3"/>
    <mergeCell ref="G2:G3"/>
    <mergeCell ref="H2:H3"/>
    <mergeCell ref="I2:I3"/>
    <mergeCell ref="J2:J3"/>
  </mergeCells>
  <hyperlinks>
    <hyperlink ref="J232" r:id="rId1" xr:uid="{7809124F-1AD2-420F-B99A-1F7E58A75F1C}"/>
    <hyperlink ref="K232" r:id="rId2" display="http://www.theideashed.com/" xr:uid="{6F3AC277-DB77-4843-9E18-47D8A6E34C80}"/>
    <hyperlink ref="J214" r:id="rId3" xr:uid="{C947CD2C-24BD-48BC-8D79-7B7E4A260AB3}"/>
    <hyperlink ref="K214" r:id="rId4" display="http://danielsoekov.com" xr:uid="{BB08701A-36F5-42A4-9215-EF8C6FFF0E79}"/>
    <hyperlink ref="J19" r:id="rId5" xr:uid="{C826D6DC-E244-4E05-B932-21E55A8CCBB6}"/>
    <hyperlink ref="K19" r:id="rId6" xr:uid="{EDE0C591-9D6D-447D-BD6C-C449BEA29F96}"/>
    <hyperlink ref="J209" r:id="rId7" xr:uid="{579F0760-902A-49AE-AA27-92B0C4EEBD3A}"/>
    <hyperlink ref="K209" r:id="rId8" display="http://www.resolvestrategic.com/" xr:uid="{629FD85C-1463-4518-8F19-3B5CD8A66C1C}"/>
    <hyperlink ref="J15" r:id="rId9" xr:uid="{036EA7ED-D827-485D-9685-BBC9AA9BD796}"/>
    <hyperlink ref="K15" r:id="rId10" display="http://www.aenima.com.au" xr:uid="{4C87BD29-0CAF-4B50-A510-EAD4DC32BE9D}"/>
    <hyperlink ref="J43" r:id="rId11" xr:uid="{50247E73-986A-4D47-9D7E-1C3DB22511C6}"/>
    <hyperlink ref="K43" r:id="rId12" display="http://www.brandfaction.com.au" xr:uid="{2B0E452C-0E38-4A66-AD26-E901B7450F14}"/>
    <hyperlink ref="K5" r:id="rId13" display="http://33creative.com.au" xr:uid="{762FC41E-8E8D-4C90-BF42-96CA5B255491}"/>
    <hyperlink ref="J5" r:id="rId14" xr:uid="{70910B0D-70FD-4A03-8C4E-C712EFC64DD2}"/>
    <hyperlink ref="J53" r:id="rId15" xr:uid="{AFD97676-70A9-4DC2-BA0F-9E137C7F85E4}"/>
    <hyperlink ref="K53" r:id="rId16" display="http://www.catobrandpartners.com" xr:uid="{8EC9CEF6-3E83-4864-B671-813FCFD089F5}"/>
    <hyperlink ref="J133" r:id="rId17" xr:uid="{CF6552A4-9EAF-41FC-8047-7F7BF1E6EF00}"/>
    <hyperlink ref="K133" r:id="rId18" display="http://www.immediate.net.au" xr:uid="{887321C2-17A1-4630-A525-8D99D9438D03}"/>
    <hyperlink ref="J50" r:id="rId19" xr:uid="{ADA82B69-44AA-4221-BD95-D1BDA84E157E}"/>
    <hyperlink ref="K50" r:id="rId20" display="http://www.capturecreative.com.au/" xr:uid="{2FC31F2F-CC5C-42AA-A085-3807AA61A585}"/>
    <hyperlink ref="J199" r:id="rId21" xr:uid="{643C4B52-0FD6-49C3-9EBB-58854B438FD9}"/>
    <hyperlink ref="K199" r:id="rId22" xr:uid="{2FC33E0E-B89D-4BF5-B508-C60333896E6D}"/>
    <hyperlink ref="J220" r:id="rId23" xr:uid="{864BEA23-A8AC-4039-B984-82F1CA65C940}"/>
    <hyperlink ref="K220" r:id="rId24" display="http://www.stillonemedia.com" xr:uid="{4FDE9BF0-1B8D-4E59-8FE5-58C18ED966C5}"/>
    <hyperlink ref="J23" r:id="rId25" xr:uid="{F9EB8610-6467-4F94-91F6-73DC5E822202}"/>
    <hyperlink ref="K23" r:id="rId26" xr:uid="{7645DA94-F54B-4D7B-B243-C6825998E2BB}"/>
    <hyperlink ref="J90" r:id="rId27" xr:uid="{19DB25F4-0BE8-458E-907E-AF476594EBCA}"/>
    <hyperlink ref="K90" r:id="rId28" xr:uid="{C751FC21-152E-4D3F-8B66-DA8171F562DD}"/>
    <hyperlink ref="K249" r:id="rId29" xr:uid="{58BE9C4D-AECA-405D-B70F-25183164CA79}"/>
    <hyperlink ref="J263" r:id="rId30" xr:uid="{59383FC4-BCBB-4470-89B7-AAAC0979B70E}"/>
    <hyperlink ref="K263" r:id="rId31" display="http://whydocumentaries.com.au" xr:uid="{BFF32497-974D-4D7D-87E8-6A763CACCEAA}"/>
    <hyperlink ref="J154" r:id="rId32" xr:uid="{D5129344-ECCD-45D4-9385-EC3B437805C8}"/>
    <hyperlink ref="K154" r:id="rId33" display="http://www.laundrylane.com" xr:uid="{0825F41C-FD21-4EBD-B7C4-2451EA1AFF07}"/>
    <hyperlink ref="J66" r:id="rId34" xr:uid="{702EA182-F665-4349-B2E8-858E9511A8FF}"/>
    <hyperlink ref="K66" r:id="rId35" display="http://www.cdi-design.com.au" xr:uid="{7C8E2EED-A0F2-4F36-B22F-CFDD6A2B38F3}"/>
    <hyperlink ref="K105" r:id="rId36" display="http://www.frescocreative.com.au" xr:uid="{2639AE2A-7451-4F9D-B30C-76894E4C5EB7}"/>
    <hyperlink ref="J7" r:id="rId37" xr:uid="{C279C264-B3DD-42B9-8F86-76DACB7F0F05}"/>
    <hyperlink ref="K7" r:id="rId38" display="http://www.5ivesenses.com.au" xr:uid="{7287D33F-36A3-407B-AF6F-9340897DBCD5}"/>
    <hyperlink ref="J22" r:id="rId39" xr:uid="{C99DFFAE-85A5-4A69-8EB2-3F2AEC2A2B1F}"/>
    <hyperlink ref="K22" r:id="rId40" xr:uid="{F503F8BA-C808-443A-A7F3-1EA2DD6665B8}"/>
    <hyperlink ref="J147" r:id="rId41" xr:uid="{84B851BA-406D-4CAE-BA98-D0E4D13E24EB}"/>
    <hyperlink ref="K147" r:id="rId42" display="http://www.kjassoc.com.au" xr:uid="{4545B346-7665-4575-9BE1-2EA1569F6ECC}"/>
    <hyperlink ref="J94" r:id="rId43" xr:uid="{FE1256D0-6158-457F-8ECC-A6991AA98796}"/>
    <hyperlink ref="K94" r:id="rId44" xr:uid="{44771D4D-B53A-4918-B346-28A8295CF5A7}"/>
    <hyperlink ref="J264" r:id="rId45" xr:uid="{EA4D8385-82FC-49D7-A3D9-0988CF18FD29}"/>
    <hyperlink ref="K264" r:id="rId46" xr:uid="{8FE18AB9-4D2E-402D-B705-5C14B902E82C}"/>
    <hyperlink ref="J88" r:id="rId47" xr:uid="{4489CD6F-D415-461D-8F46-7183F0C9EA34}"/>
    <hyperlink ref="K88" r:id="rId48" display="http://www.energi.com.au" xr:uid="{AD100DF3-D6D9-4249-AF41-5738632F2715}"/>
    <hyperlink ref="J63" r:id="rId49" xr:uid="{D94306FE-1E3E-4B35-9335-99399A9B63A8}"/>
    <hyperlink ref="K63" r:id="rId50" display="http://www.contentark.com.au" xr:uid="{AF6DCB79-49E7-4D75-A085-5B4C49E8BFC6}"/>
    <hyperlink ref="J26" r:id="rId51" xr:uid="{D5D16319-CA70-458A-A052-2E1FA88FBA94}"/>
    <hyperlink ref="J196" r:id="rId52" xr:uid="{1B8380CA-7C1B-4F98-9FF7-2FA5AAC6E9DA}"/>
    <hyperlink ref="K196" r:id="rId53" xr:uid="{2A20055D-8ABE-43BB-A338-095D8BBA0D20}"/>
    <hyperlink ref="J124" r:id="rId54" xr:uid="{3BE4089F-C2EA-4D90-A63C-1AA4480D96D8}"/>
    <hyperlink ref="K124" r:id="rId55" display="http://houstongroup.com.au" xr:uid="{C55A918B-5C0E-439F-AF70-EB76435CD711}"/>
    <hyperlink ref="J172" r:id="rId56" xr:uid="{23F7F9CF-BAE3-4673-95EA-9C85DBA33D4D}"/>
    <hyperlink ref="K172" r:id="rId57" display="http://www.mintfilms.com.au" xr:uid="{93C9E965-69EB-4801-BE51-6E71825E9360}"/>
    <hyperlink ref="J109" r:id="rId58" xr:uid="{D024606A-0F42-4134-B1EA-0EF603F4136D}"/>
    <hyperlink ref="K109" r:id="rId59" display="http://goodchat.tv" xr:uid="{AFCD712C-8DBD-4345-862F-8B40AA6F22FB}"/>
    <hyperlink ref="J27" r:id="rId60" xr:uid="{9C8D8E40-F065-4F2B-A45E-87717B9CF690}"/>
    <hyperlink ref="K27" r:id="rId61" display="http://www.archibaldwilliams.com" xr:uid="{4BC40822-A482-4BD6-B58E-0700CC6D680A}"/>
    <hyperlink ref="K59" r:id="rId62" xr:uid="{DF702DBE-8C2C-4795-96E5-0E874955DAC6}"/>
    <hyperlink ref="J59" r:id="rId63" xr:uid="{0334E391-4F46-4CD0-97D4-2597A63E4FEF}"/>
    <hyperlink ref="J206" r:id="rId64" xr:uid="{E20E337A-40AF-4B91-A52C-CB145E66C8E6}"/>
    <hyperlink ref="K206" r:id="rId65" display="http://www.reddoorproduction.com.au" xr:uid="{BD24DA15-98D3-40B2-84C9-3383F909FD53}"/>
    <hyperlink ref="J222" r:id="rId66" xr:uid="{C26F48DE-4B9C-40CF-A64A-4DDCA0FB979D}"/>
    <hyperlink ref="K222" r:id="rId67" xr:uid="{4313D6AC-3F2F-4B36-81B4-0A9276D04C4B}"/>
    <hyperlink ref="J35" r:id="rId68" xr:uid="{F96C0708-37BE-4C69-9D60-640B75B34428}"/>
    <hyperlink ref="K35" r:id="rId69" xr:uid="{326EBC3F-56E3-4B55-8AEE-676CFB64011C}"/>
    <hyperlink ref="J213" r:id="rId70" xr:uid="{B1A4C509-E597-4302-9BBE-6417C8CD8FAE}"/>
    <hyperlink ref="K213" r:id="rId71" display="http://sixblackpens.com/" xr:uid="{5E0ABA59-D6EE-4429-ACD2-BA75C45CCCF4}"/>
    <hyperlink ref="J91" r:id="rId72" xr:uid="{D6B6E416-8FEE-4995-B578-6EB5B6105F22}"/>
    <hyperlink ref="K91" r:id="rId73" display="http://www.enigma.net.au" xr:uid="{5987EB34-89E5-4835-97A0-741F00DAF8F1}"/>
    <hyperlink ref="J122" r:id="rId74" xr:uid="{C5A34E0A-7EF9-4E51-9D54-CDDEC4F41E57}"/>
    <hyperlink ref="K122" r:id="rId75" display="http://www.hosthavas.com" xr:uid="{3B64EF32-02B0-4DFB-8208-EDF88AEC40EF}"/>
    <hyperlink ref="J52" r:id="rId76" xr:uid="{7FFA9462-C18C-45E8-9869-A49A774F007F}"/>
    <hyperlink ref="K52" r:id="rId77" xr:uid="{157494CA-DED6-444A-9992-E96C691F1023}"/>
    <hyperlink ref="K38" r:id="rId78" display="http://www.blkfsch.com" xr:uid="{4C950476-F3FC-490C-B446-A3D5CDD63E27}"/>
    <hyperlink ref="J38" r:id="rId79" xr:uid="{88ABFE01-11E0-484F-A5C3-9B39B09C345E}"/>
    <hyperlink ref="J233" r:id="rId80" xr:uid="{80CC7204-5683-484A-9EF7-D7A39A9B6178}"/>
    <hyperlink ref="K233" r:id="rId81" display="http://www.informationaccessgroup.com/" xr:uid="{046EFE0D-4106-4F4C-BA28-960B97C11719}"/>
    <hyperlink ref="J18" r:id="rId82" xr:uid="{7AD022FE-ACF9-448A-8760-8645AB1BEE4E}"/>
    <hyperlink ref="K18" r:id="rId83" display="http://www.alphabetstudio.co" xr:uid="{34E8B127-CA75-458B-A59B-D203A77E3852}"/>
    <hyperlink ref="J171" r:id="rId84" xr:uid="{966A4DEE-FCFB-4070-AB0C-C14135F50CD7}"/>
    <hyperlink ref="K171" r:id="rId85" xr:uid="{AC5FF293-CCCA-4098-8CEE-9ADC66F2D1DF}"/>
    <hyperlink ref="J145" r:id="rId86" xr:uid="{1A1CAA15-163E-4B30-90C2-F75C0E930ADD}"/>
    <hyperlink ref="K145" r:id="rId87" display="http://www.juntosmarketing.com.au" xr:uid="{3C7036EB-3502-44A0-83CA-B2A21BD42282}"/>
    <hyperlink ref="J102" r:id="rId88" xr:uid="{13CA2B95-A40E-41F8-B3E9-E24D8FDC0807}"/>
    <hyperlink ref="K102" r:id="rId89" display="http://www.folk.com.au" xr:uid="{49BFBAC0-9F23-4705-99A9-BF7AF42D635F}"/>
    <hyperlink ref="J30" r:id="rId90" xr:uid="{3BE95A71-21DF-4D20-9189-BBDC97ED3A75}"/>
    <hyperlink ref="K30" r:id="rId91" xr:uid="{8A44CBD4-997E-4430-AB6B-5A40B0A68BE9}"/>
    <hyperlink ref="J191" r:id="rId92" xr:uid="{62C12CE6-721D-42E7-9C1C-F50BE45CDD66}"/>
    <hyperlink ref="K191" r:id="rId93" display="http://www.rpsgroup.com" xr:uid="{6001D0F4-4D9F-4CCF-971B-29DBEC10BDA7}"/>
    <hyperlink ref="K11" r:id="rId94" display="http://www.acronymdesign.com.au" xr:uid="{09F6BE53-C420-45C8-9493-B1B4B2BE37E5}"/>
    <hyperlink ref="J11" r:id="rId95" xr:uid="{530A4F91-BC88-4569-8AE7-92B8F02C4530}"/>
    <hyperlink ref="J17" r:id="rId96" xr:uid="{CA4DB408-C153-434F-A041-FB2A768EBA4E}"/>
    <hyperlink ref="K17" r:id="rId97" xr:uid="{DF2EAAFC-CFFE-48E6-B9D2-F290B3EB0502}"/>
    <hyperlink ref="J146" r:id="rId98" xr:uid="{84AD1708-A557-4C6D-8160-B6079675074B}"/>
    <hyperlink ref="K146" r:id="rId99" xr:uid="{EA761F01-1C26-4777-9975-810994B28E09}"/>
    <hyperlink ref="J74" r:id="rId100" xr:uid="{3BC9521A-AD8F-41F5-8133-4EEC329040BE}"/>
    <hyperlink ref="K74" r:id="rId101" display="http://designdavey.com.au" xr:uid="{61005482-3803-4D06-98BE-D56ED8AE45D0}"/>
    <hyperlink ref="J187" r:id="rId102" xr:uid="{6A374A0A-D4EE-4C8F-B7C8-694568465D54}"/>
    <hyperlink ref="K187" r:id="rId103" display="http://papermoose.com" xr:uid="{2BD0DD13-C65C-4665-9B7B-AF7C3F43E6E4}"/>
    <hyperlink ref="J108" r:id="rId104" xr:uid="{5362323F-8B02-4FBA-9F1D-6B64B8EC5AE1}"/>
    <hyperlink ref="K108" r:id="rId105" display="http://goodsong.com.au" xr:uid="{B8316468-6B26-48F6-9B8C-AABF8ED45E5C}"/>
    <hyperlink ref="J80" r:id="rId106" xr:uid="{DDEE38CF-C704-44B5-B000-D8A1F442A5CA}"/>
    <hyperlink ref="K80" r:id="rId107" display="http://edge.agency" xr:uid="{4CAD2363-A316-4A85-ABC7-977AA9ABB8FD}"/>
    <hyperlink ref="J236" r:id="rId108" xr:uid="{FBA86810-72AD-489D-97A2-FF88C0B17701}"/>
    <hyperlink ref="K236" r:id="rId109" xr:uid="{A345261B-9C2E-4156-A242-3F47ED8F8499}"/>
    <hyperlink ref="J139" r:id="rId110" xr:uid="{FA46FDE7-F586-4542-9EE6-1DBF907397EA}"/>
    <hyperlink ref="K139" r:id="rId111" display="http://www.invntgroup.com" xr:uid="{E79849D8-3CB3-4A64-8C1E-2CD27086637C}"/>
    <hyperlink ref="J71" r:id="rId112" xr:uid="{5ECD0C21-FEFD-42AC-B513-AA36937A954F}"/>
    <hyperlink ref="K71" r:id="rId113" display="http://www.ddb.com.au" xr:uid="{6BCF3D29-8679-424B-91A0-42AD7687CDB9}"/>
    <hyperlink ref="J28" r:id="rId114" xr:uid="{B86369FF-2940-4241-A9ED-3A71F26181F3}"/>
    <hyperlink ref="K28" r:id="rId115" display="http://artofmultimedia.com.au" xr:uid="{3394545C-87F6-409C-87A5-D05B33B9A6F0}"/>
    <hyperlink ref="J182" r:id="rId116" xr:uid="{39A281B9-F294-434A-AD90-5215DD775F1A}"/>
    <hyperlink ref="K182" r:id="rId117" display="http://www.nowscreen.com" xr:uid="{2351C008-B10D-47F5-BBF3-CE36BC1904F6}"/>
    <hyperlink ref="K248" r:id="rId118" xr:uid="{B363AD75-C6BC-40F8-8499-850D2E2CC41E}"/>
    <hyperlink ref="J248" r:id="rId119" xr:uid="{E2E557D6-8586-4C9E-A963-8C67979B13C2}"/>
    <hyperlink ref="J208" r:id="rId120" xr:uid="{C8B7C800-EA4E-478C-A54C-73196C5819A6}"/>
    <hyperlink ref="K208" r:id="rId121" display="http://www.reelstory.co" xr:uid="{ECB742A8-7997-43E5-8544-66A918E5AC48}"/>
    <hyperlink ref="J100" r:id="rId122" xr:uid="{BDD2EF6E-B402-4E72-81F5-4A7FDE547FD1}"/>
    <hyperlink ref="K100" r:id="rId123" display="http://www.fluffycloudmedia.com.au" xr:uid="{95F254A2-A6FD-4C18-8C83-73CD8F689726}"/>
    <hyperlink ref="J37" r:id="rId124" xr:uid="{E5D1ABAC-8093-405B-8810-A58C2F0D3571}"/>
    <hyperlink ref="K37" r:id="rId125" display="http://www.bergefarrell.com" xr:uid="{0D9AB717-49C3-4BC1-8F15-491FA674ACB6}"/>
    <hyperlink ref="J229" r:id="rId126" xr:uid="{0607B5DF-BE69-47C9-9491-C64DB36C79E8}"/>
    <hyperlink ref="K229" r:id="rId127" display="http://www.destinationagency.com.au" xr:uid="{FC7837A3-B1CD-4177-B210-D2F79EE61D4B}"/>
    <hyperlink ref="K241" r:id="rId128" xr:uid="{5D9D7E7A-70C9-4A88-92F0-D13E7696C80E}"/>
    <hyperlink ref="J241" r:id="rId129" xr:uid="{E197CAEA-797C-4E8D-8835-3E96632E8A1B}"/>
    <hyperlink ref="J179" r:id="rId130" xr:uid="{CB9FA941-E18B-460A-BC90-030302E89436}"/>
    <hyperlink ref="K179" r:id="rId131" display="http://www.nightjar.co" xr:uid="{2539C650-A9AF-4709-AF36-FAEDFC473521}"/>
    <hyperlink ref="J186" r:id="rId132" xr:uid="{391EA52A-8566-455F-9F5D-54F6E393A5E4}"/>
    <hyperlink ref="K186" r:id="rId133" display="http://papermonkey.com.au" xr:uid="{BE60C70F-9663-49D9-ACC6-747AF20923FB}"/>
    <hyperlink ref="J142" r:id="rId134" xr:uid="{4A67F00E-482C-4960-B4D6-71DF2BDA8CD5}"/>
    <hyperlink ref="K142" r:id="rId135" display="http://jimjamideas.com" xr:uid="{C99E25F2-8B40-464F-B3E7-718477FD3818}"/>
    <hyperlink ref="J61" r:id="rId136" xr:uid="{552BB8CD-5D3B-4750-B05B-C03028F64419}"/>
    <hyperlink ref="K61" r:id="rId137" display="http://www.clockworkfilms.com.au" xr:uid="{4CFF1A5D-2469-4CB0-B0FB-77CC9982234F}"/>
    <hyperlink ref="J127" r:id="rId138" xr:uid="{89C5E31F-FF0F-4B96-BF54-477ABF620711}"/>
    <hyperlink ref="K127" r:id="rId139" xr:uid="{6C30BB9E-239F-46C3-8BF6-0C1E6DCBDBCA}"/>
    <hyperlink ref="J169" r:id="rId140" xr:uid="{4262F0E6-B754-4B90-A5D1-A9F4F9DE10BA}"/>
    <hyperlink ref="K169" r:id="rId141" display="http://messy.com.au" xr:uid="{2603E650-C8C7-4D83-9F03-97F788E17D7B}"/>
    <hyperlink ref="J189" r:id="rId142" xr:uid="{39154619-8845-4DFC-A314-F76C6F2C774C}"/>
    <hyperlink ref="K189" r:id="rId143" display="http://www.pearshop.com.au" xr:uid="{B2C2D266-7C61-4DFB-8A98-229AAD09C903}"/>
    <hyperlink ref="J134" r:id="rId144" xr:uid="{F1BB9ADD-2E6F-48C0-AA2D-8E4E6F969B4A}"/>
    <hyperlink ref="K134" r:id="rId145" display="http://impressdesign.com.au" xr:uid="{87D8E71B-EC3D-4B66-955A-9596A5C2DBCA}"/>
    <hyperlink ref="J269" r:id="rId146" xr:uid="{6ED73658-06E3-421E-BB78-4C5C5EFE94C4}"/>
    <hyperlink ref="K269" r:id="rId147" display="http://yango.com.au" xr:uid="{0D1F087A-7FE6-4586-80AF-18B9A1F7A925}"/>
    <hyperlink ref="J262" r:id="rId148" xr:uid="{33960CA3-C288-48E9-A758-85F87AD26A32}"/>
    <hyperlink ref="K262" r:id="rId149" display="http://whmspa.com.au" xr:uid="{48A595ED-2F6B-48C2-AB2C-8C6F3DF49F2E}"/>
    <hyperlink ref="J210" r:id="rId150" xr:uid="{1EB5D62D-5F0B-4DA9-BD7A-7B51CCAA3842}"/>
    <hyperlink ref="K210" r:id="rId151" display="http://rocketagency.com.au" xr:uid="{023F82D7-4FCF-43B9-B508-56F61768AE4E}"/>
    <hyperlink ref="J217" r:id="rId152" xr:uid="{2918655E-203B-4CFF-AC3A-55EC6A62D6C2}"/>
    <hyperlink ref="K217" r:id="rId153" display="http://spatialmedia.com.au" xr:uid="{735D0B5E-DC31-4FD6-A19E-330FCE78D5ED}"/>
    <hyperlink ref="J20" r:id="rId154" xr:uid="{B1677505-AA2E-48C3-9AD1-372F996728CD}"/>
    <hyperlink ref="K20" r:id="rId155" display="http://www.analogfolk.com" xr:uid="{C28CDF01-EDFC-482D-A17A-90F3C6D17BE3}"/>
    <hyperlink ref="J104" r:id="rId156" xr:uid="{889B2653-82BB-4029-AFEC-2AB2E2160757}"/>
    <hyperlink ref="K104" r:id="rId157" display="http://www.foundatsea.co" xr:uid="{06A7939C-F4EB-4318-B0FB-1BBF3E7D1860}"/>
    <hyperlink ref="J101" r:id="rId158" xr:uid="{363ED001-6447-418C-B84C-B52A80897158}"/>
    <hyperlink ref="K101" r:id="rId159" display="http://www.focuscreative.com.au" xr:uid="{15A5D508-78E8-42FD-B090-B5B813B6ED84}"/>
    <hyperlink ref="J21" r:id="rId160" xr:uid="{E52D6EDD-85A9-461A-B785-F108736255FF}"/>
    <hyperlink ref="K21" r:id="rId161" display="http://www.annazhu.com" xr:uid="{95F28529-874A-442A-9007-AC7371208146}"/>
    <hyperlink ref="J157" r:id="rId162" xr:uid="{B85EF1D0-B829-4FE0-ACEA-B93687B6830E}"/>
    <hyperlink ref="K157" r:id="rId163" display="http://www.limelightcreativemedia.com.au" xr:uid="{7C9E4D39-0919-44E9-8E6D-EDAE7A48F6CC}"/>
    <hyperlink ref="J85" r:id="rId164" xr:uid="{02018D57-40FC-431A-A48D-CB5F25C375B9}"/>
    <hyperlink ref="K85" r:id="rId165" display="http://www.eltonward.com.au" xr:uid="{5A5571AF-4C45-4643-9392-0EEAC90A8D67}"/>
    <hyperlink ref="J151" r:id="rId166" xr:uid="{B0FC422C-32E8-42D0-8732-D905E7D5D2DA}"/>
    <hyperlink ref="K151" r:id="rId167" display="http://www.kingvideoproduction.com.au" xr:uid="{08BA3312-BF4F-4AE1-8411-1EA90CBC454D}"/>
    <hyperlink ref="K158" r:id="rId168" display="http://www.lionize.com.au/" xr:uid="{9E8BDCD0-936A-4C6E-B6DF-C1318BEE5B7F}"/>
    <hyperlink ref="J158" r:id="rId169" xr:uid="{B2A5C7E4-F364-4499-A114-FFE779A80583}"/>
    <hyperlink ref="J62" r:id="rId170" xr:uid="{6D7B22F2-3A55-429B-AF0F-2267D6E5AC1B}"/>
    <hyperlink ref="K62" r:id="rId171" display="http://commonv.com.au" xr:uid="{77360B89-9B79-472F-8E9E-F581737E14E3}"/>
    <hyperlink ref="J257" r:id="rId172" xr:uid="{FC104575-3171-46E2-A1B6-31460FB4B9E0}"/>
    <hyperlink ref="K257" r:id="rId173" xr:uid="{64DFBE57-0947-40E1-9D63-9AA46B44A644}"/>
    <hyperlink ref="J166" r:id="rId174" xr:uid="{AFA2C2CE-A145-483E-935A-59E19706C30B}"/>
    <hyperlink ref="K166" r:id="rId175" display="http://www.mccann.com.au" xr:uid="{85767F05-DD33-4EC4-8B96-2043E271B597}"/>
    <hyperlink ref="J190" r:id="rId176" xr:uid="{63EBFAB6-E5D4-4619-9A31-EC3A0E15140A}"/>
    <hyperlink ref="K190" r:id="rId177" xr:uid="{D6C6EF4D-AC30-4F4E-8464-AAEA87B092FD}"/>
    <hyperlink ref="J268" r:id="rId178" xr:uid="{94068F13-A48D-4CF8-80BF-109308CE3C21}"/>
    <hyperlink ref="K268" r:id="rId179" xr:uid="{FB6298AC-3F72-4707-B383-5EEB21872B7A}"/>
    <hyperlink ref="J14" r:id="rId180" xr:uid="{553AE579-F39B-44F5-8E74-E777621863E1}"/>
    <hyperlink ref="J164" r:id="rId181" xr:uid="{13BED219-303B-4B26-8182-55DAC63AA8D7}"/>
    <hyperlink ref="K164" r:id="rId182" display="http://maverick.com.au" xr:uid="{949A4E4E-F1E7-4E29-BB93-C75FC7D13C34}"/>
    <hyperlink ref="J156" r:id="rId183" xr:uid="{C5667E18-4EC7-46E5-AEFF-ACA73C612BCB}"/>
    <hyperlink ref="K156" r:id="rId184" xr:uid="{9BF3414F-6E27-4C78-812A-3F43B35E13DE}"/>
    <hyperlink ref="J239" r:id="rId185" xr:uid="{EA9C73A7-2058-476C-8258-A0549B3F1A59}"/>
    <hyperlink ref="K239" r:id="rId186" display="http://www.thinksmartmarketing.com.au" xr:uid="{C579FE96-1766-4FC2-AB41-0AC188D8165A}"/>
    <hyperlink ref="J93" r:id="rId187" xr:uid="{1A541051-64E9-40A6-8549-14313BCD4F85}"/>
    <hyperlink ref="K93" r:id="rId188" xr:uid="{C7B22D8F-587C-40F8-8F1A-569A8E34FB13}"/>
    <hyperlink ref="J67" r:id="rId189" xr:uid="{78EE2FB8-353D-4C82-80CE-1FF1BC0486C4}"/>
    <hyperlink ref="K67" r:id="rId190" display="http://www.culper.com.au" xr:uid="{693B85F6-DC19-408A-BBD9-CB322CEC2FD7}"/>
    <hyperlink ref="J130" r:id="rId191" xr:uid="{CA24C5FE-591E-419E-951D-E5EE37ABB74C}"/>
    <hyperlink ref="K130" r:id="rId192" display="http://bruce@illidgecreative.com.au" xr:uid="{2065A082-A44A-4453-A217-804651CBEB0D}"/>
    <hyperlink ref="J266" r:id="rId193" xr:uid="{3E9B776A-F850-4933-BD80-FB55D6152ED8}"/>
    <hyperlink ref="K266" r:id="rId194" display="http://www.wewonder.com.au" xr:uid="{F0A3F4C2-5F19-4505-8E7D-C8584E488CE9}"/>
    <hyperlink ref="J138" r:id="rId195" xr:uid="{FED3CDB4-1FCA-4C64-BD0E-55E40EBCC5B0}"/>
    <hyperlink ref="K138" r:id="rId196" display="http://www.integraldesign.com.au" xr:uid="{1E602E27-E895-4923-AEB6-54EF80A51B45}"/>
    <hyperlink ref="J56" r:id="rId197" xr:uid="{1B53FD93-130D-4D28-B70E-5721877B27CB}"/>
    <hyperlink ref="K56" r:id="rId198" display="http://www.chello.com.au" xr:uid="{87499CA5-A2B9-44D5-9F79-6120D784C87B}"/>
    <hyperlink ref="J87" r:id="rId199" xr:uid="{A4E7B200-0A1C-46C6-A2BE-47F711620990}"/>
    <hyperlink ref="K87" r:id="rId200" display="http://www.emotive.com.au" xr:uid="{437D1BB3-98AB-4263-A0A9-EE97C781E42B}"/>
    <hyperlink ref="J103" r:id="rId201" xr:uid="{3902107C-8228-4352-B448-EBAAA664DA6C}"/>
    <hyperlink ref="J188" r:id="rId202" xr:uid="{250059A5-B3D7-4A91-BE23-A665E0443994}"/>
    <hyperlink ref="K188" r:id="rId203" display="http://www.passionberrymarketing.com" xr:uid="{FEB1A389-2601-4ABC-BB69-BE2A32064E37}"/>
    <hyperlink ref="J251" r:id="rId204" xr:uid="{4BC23A19-05CB-4F1A-A590-8C1DF1244203}"/>
    <hyperlink ref="K251" r:id="rId205" display="http://www.vmlyr.com" xr:uid="{BA99A5F6-899C-4577-ACC1-D14CBFFBC8F0}"/>
    <hyperlink ref="J123" r:id="rId206" xr:uid="{F6EFB7D4-59D9-4AE4-94C3-4E9E8D22622F}"/>
    <hyperlink ref="K123" r:id="rId207" display="http://www.houseofkitch.com.au" xr:uid="{DCE9A896-10B1-436E-BE59-EDC397D0472C}"/>
    <hyperlink ref="J44" r:id="rId208" xr:uid="{EEB9DE65-F19A-42F0-918C-D312C2CE7074}"/>
    <hyperlink ref="K44" r:id="rId209" display="http://www.brandmatters.com.au" xr:uid="{CDC2F527-A434-40A8-844C-8AE555830F67}"/>
    <hyperlink ref="J128" r:id="rId210" xr:uid="{ACCE31FD-97D4-4FD4-9B68-040BE90A6338}"/>
    <hyperlink ref="K128" r:id="rId211" display="http://www.ideaseed.com.au" xr:uid="{96832F53-4F34-45A4-BCAB-3C1DADF10F8C}"/>
    <hyperlink ref="J114" r:id="rId212" xr:uid="{512CDE84-C688-4671-9B31-5EBB03CE2C80}"/>
    <hyperlink ref="K114" r:id="rId213" xr:uid="{F94A6EFC-94AC-496A-8622-F1EA06B3F3AF}"/>
    <hyperlink ref="J83" r:id="rId214" xr:uid="{F80CF00B-E776-4BE9-A0CE-1A11AA12DF6B}"/>
    <hyperlink ref="K83" r:id="rId215" display="http://www.ellisjones.com.au" xr:uid="{6A16C1E0-84B5-4798-A492-DCC4CF255279}"/>
    <hyperlink ref="J194" r:id="rId216" xr:uid="{9A15DB27-C080-462B-A598-308750BEC3C4}"/>
    <hyperlink ref="K194" r:id="rId217" display="http://www.porternovelli.com.au" xr:uid="{56EE9088-0D91-4EB4-80C5-25E5FE099078}"/>
    <hyperlink ref="J13" r:id="rId218" xr:uid="{88797449-5A63-4FDE-ADAF-92D6787D7A56}"/>
    <hyperlink ref="K13" r:id="rId219" display="http://www.addiestudio.com" xr:uid="{ADE63017-8EB3-43E2-BD4B-BE63F40F6241}"/>
    <hyperlink ref="J148" r:id="rId220" xr:uid="{AEE5F50A-302C-4DA0-86B7-0CB378BF53F2}"/>
    <hyperlink ref="K148" r:id="rId221" display="http://www.kazbarcreative.com.au" xr:uid="{892D6553-46F6-4B83-B4BA-EF3B5EDE6254}"/>
    <hyperlink ref="K48" r:id="rId222" display="http://www.canvasgroup.com.au" xr:uid="{95EC9B79-BCA9-4E15-814B-C9C4DA2B18E6}"/>
    <hyperlink ref="J48" r:id="rId223" xr:uid="{F65EF574-87E4-49B1-A9A0-5EDBE8BB6CD9}"/>
    <hyperlink ref="J119" r:id="rId224" xr:uid="{B45BD2AD-DD11-4A06-9B37-7C63BEEE6D4F}"/>
    <hyperlink ref="K119" r:id="rId225" display="http://hixonfilms.com" xr:uid="{97295398-1468-4B82-8AB1-6569DC2CFBB4}"/>
    <hyperlink ref="J40" r:id="rId226" xr:uid="{773AC1B1-BEBE-4E37-9D29-21CD22B16607}"/>
    <hyperlink ref="K40" r:id="rId227" display="http://www.bmf.com.au" xr:uid="{60C63465-AF7D-400C-B04E-193DBFBDDFCF}"/>
    <hyperlink ref="K106" r:id="rId228" display="http://www.ghosydney.com" xr:uid="{64825027-3C5E-4A67-AD0A-B4D361B8457D}"/>
    <hyperlink ref="J106" r:id="rId229" xr:uid="{C2CA9137-73A8-4DFD-84A8-127C442A6AB3}"/>
    <hyperlink ref="J86" r:id="rId230" xr:uid="{372F7804-22F9-4A8B-AC1A-706CA2B6223E}"/>
    <hyperlink ref="K86" r:id="rId231" display="http://www.embracesociety.com.au" xr:uid="{FF302AF2-C52B-4BBE-A4FA-2FA74B0E826D}"/>
    <hyperlink ref="J125" r:id="rId232" xr:uid="{2D367F22-4F3F-4410-844B-235F0391C237}"/>
    <hyperlink ref="K125" r:id="rId233" display="http://www.hoyne.com.au/" xr:uid="{0F86F750-F552-4E2A-87F6-7145D48944F7}"/>
    <hyperlink ref="J25" r:id="rId234" xr:uid="{FBC0ABA2-699D-49EE-8117-C1692DC5C6B6}"/>
    <hyperlink ref="K25" r:id="rId235" display="http://www.apparent.com.au" xr:uid="{25C2E164-1DC6-4A3F-B44B-5676AEDF39B8}"/>
    <hyperlink ref="J118" r:id="rId236" xr:uid="{92A68C67-EAE0-4A13-9548-1D14BE4256F3}"/>
    <hyperlink ref="K118" r:id="rId237" display="http://hinterlands.com.au" xr:uid="{568A7E89-4B96-465D-A393-A08C2AD8272C}"/>
    <hyperlink ref="J16" r:id="rId238" xr:uid="{CFD1605D-5C3A-4886-8946-14D484D3CD48}"/>
    <hyperlink ref="K16" r:id="rId239" xr:uid="{82FA76C1-14EE-42A3-BDA2-8CBAB0580379}"/>
    <hyperlink ref="J181" r:id="rId240" xr:uid="{797A801C-DF93-4441-99B8-5924A4500983}"/>
    <hyperlink ref="K181" r:id="rId241" display="http://www.noblebrandsworldwide.com" xr:uid="{E1EF5B59-8F6A-44B5-8C1A-9B5ADFF00F89}"/>
    <hyperlink ref="J64" r:id="rId242" xr:uid="{3FF585BF-8242-47C3-A15F-7CB384E773C4}"/>
    <hyperlink ref="K64" r:id="rId243" display="http://www.cooperfilms.net" xr:uid="{7DF89E6C-81D2-4F0C-98C2-415D07DF826E}"/>
    <hyperlink ref="J159" r:id="rId244" xr:uid="{1B251512-9A71-4795-99DD-0C830AC4D3BF}"/>
    <hyperlink ref="K159" r:id="rId245" xr:uid="{E56C169D-F9C3-4C22-A207-4323357B2E2F}"/>
    <hyperlink ref="J143" r:id="rId246" xr:uid="{D3646BA6-B654-4DCA-AC58-4DC3D430FB1C}"/>
    <hyperlink ref="K143" r:id="rId247" display="http://www.jmr.com.au" xr:uid="{C8D8E13D-1248-45B1-B467-3C3C27CE17AB}"/>
    <hyperlink ref="J244" r:id="rId248" xr:uid="{6AC7F1FB-AD16-4A17-8117-48809522889B}"/>
    <hyperlink ref="K244" r:id="rId249" display="http://www.twostory.com.au" xr:uid="{B842058F-A542-426A-B89E-22BA9760A61B}"/>
    <hyperlink ref="J173" r:id="rId250" xr:uid="{4E7C0545-81FE-4379-97F2-9D910E97DC65}"/>
    <hyperlink ref="K173" r:id="rId251" display="http://www.momentum2.com.au" xr:uid="{DA37F9E9-08C6-404C-9409-72979332520B}"/>
    <hyperlink ref="J69" r:id="rId252" xr:uid="{21BAE47B-6ACE-4E29-BAA5-4B738E71279D}"/>
    <hyperlink ref="K69" r:id="rId253" xr:uid="{9AC12EDA-4DC6-47E7-99D6-5C37677A0DBD}"/>
    <hyperlink ref="J224" r:id="rId254" xr:uid="{3D3A0304-F6A7-454F-AF2B-7744EF795D6D}"/>
    <hyperlink ref="K224" r:id="rId255" display="http://sweetmanand.co" xr:uid="{287B6FD8-EFF4-4130-8052-DBA9E7AA5A35}"/>
    <hyperlink ref="J267" r:id="rId256" xr:uid="{2D808890-78A0-4131-8859-AF1D95E414B7}"/>
    <hyperlink ref="K267" r:id="rId257" xr:uid="{536D441E-4AE5-4F39-A2BC-267455807E5C}"/>
    <hyperlink ref="J203" r:id="rId258" xr:uid="{DA008B9E-74EF-4B02-B5BA-373869A27939}"/>
    <hyperlink ref="K203" r:id="rId259" display="http://www.radicalorange.tv" xr:uid="{E9F9A958-3A10-4DC8-AAB5-8C2CFB6CF424}"/>
    <hyperlink ref="J81" r:id="rId260" xr:uid="{56639189-5A03-4AAF-BAF2-5272DFD6CBE4}"/>
    <hyperlink ref="K81" r:id="rId261" display="http://www.editorgroup.com" xr:uid="{D1656565-3A85-4CF3-8E00-06F0B0D2A8B7}"/>
    <hyperlink ref="J98" r:id="rId262" xr:uid="{D5174B73-F456-4EB4-851F-8A7130ED0A18}"/>
    <hyperlink ref="K98" r:id="rId263" display="http://www.filmconstruction.com" xr:uid="{D508A395-2383-41EE-B1E8-2444972D4BB3}"/>
    <hyperlink ref="K230" r:id="rId264" display="http://www.thedubs.com" xr:uid="{E2668A58-CAD1-4985-99CD-461FBD09BBF7}"/>
    <hyperlink ref="J230" r:id="rId265" xr:uid="{E5087C01-DE20-4AA7-AF0C-A8C4EA365DDB}"/>
    <hyperlink ref="J270" r:id="rId266" xr:uid="{912C0B0D-C808-48DB-B2CD-87CC6A6ABC71}"/>
    <hyperlink ref="K270" r:id="rId267" display="http://www.zspace.com.au" xr:uid="{EABFD0D1-92A9-4432-A5B3-29680D0D4136}"/>
    <hyperlink ref="J149" r:id="rId268" xr:uid="{537EA58A-078C-463A-AF97-685D77717E63}"/>
    <hyperlink ref="K149" r:id="rId269" display="http://www.keyyproductions.com.au" xr:uid="{A8CD3F1F-7EAA-4174-A3B2-468BDC475DE4}"/>
    <hyperlink ref="J225" r:id="rId270" xr:uid="{39583528-B947-4C2F-A7A5-BB285850D635}"/>
    <hyperlink ref="K225" r:id="rId271" display="http://www.swingtime.com.au" xr:uid="{FA49602D-2C2F-4DAB-9CC6-EC0F720709ED}"/>
    <hyperlink ref="K78" r:id="rId272" display="http://hellootto.com.au/" xr:uid="{49A8E395-2335-4B36-BFE3-D9D1833D9D3F}"/>
    <hyperlink ref="J78" r:id="rId273" xr:uid="{B8070034-1B61-42F8-B4AE-E66FD5CA3BB5}"/>
    <hyperlink ref="J245" r:id="rId274" xr:uid="{51335139-296D-4762-97A2-67E9CC29A6F2}"/>
    <hyperlink ref="K245" r:id="rId275" display="http://www.uncappedcreative.com.au" xr:uid="{00EB90D5-8CD3-4FA1-85D1-9684F98B4EA0}"/>
    <hyperlink ref="J175" r:id="rId276" xr:uid="{3A9DA609-8C84-4B8C-9208-445085BCE8DC}"/>
    <hyperlink ref="K175" r:id="rId277" display="http://www.multiculture.com.au" xr:uid="{D5F69CB0-4F2C-43FB-AD88-EAD5B3537F19}"/>
    <hyperlink ref="J82" r:id="rId278" xr:uid="{B44B143C-8226-472B-A4B5-3E77BFA68E9D}"/>
    <hyperlink ref="K82" r:id="rId279" xr:uid="{A53BCF7F-0372-43EE-99B1-2F1E94D5CE8F}"/>
    <hyperlink ref="J76" r:id="rId280" xr:uid="{3FEA1826-3693-4A9A-834D-A48A826BC7C3}"/>
    <hyperlink ref="K76" r:id="rId281" xr:uid="{320BA3D1-9826-44CB-9133-2A20E8CC3D11}"/>
    <hyperlink ref="J60" r:id="rId282" xr:uid="{B3E7E748-8C34-421F-8ECF-5814018E01EA}"/>
    <hyperlink ref="K60" r:id="rId283" display="http://clemengerbbdo.com.au/en" xr:uid="{F0CDA779-2D56-4F1B-856C-AD452FDA9150}"/>
    <hyperlink ref="J200" r:id="rId284" xr:uid="{8F26D56B-7DF1-4857-9FBE-BE0C952794E8}"/>
    <hyperlink ref="K200" r:id="rId285" display="http://www.punchydigitalmedia.com.au" xr:uid="{6AD2C85D-E82F-4F4D-9BA6-769ABB49FF86}"/>
    <hyperlink ref="J258" r:id="rId286" xr:uid="{97859801-442F-423D-A21E-DC2591E43655}"/>
    <hyperlink ref="K258" r:id="rId287" xr:uid="{04A81085-AB09-4CB7-92F8-893F68925ADB}"/>
    <hyperlink ref="J231" r:id="rId288" xr:uid="{961472B6-4F8E-4111-BF78-1519CF6F980E}"/>
    <hyperlink ref="K231" r:id="rId289" xr:uid="{6D58FDFC-5AD7-4710-827E-4735C361E777}"/>
    <hyperlink ref="J42" r:id="rId290" xr:uid="{1668846B-5DDA-499F-B0EB-B19972CE4C12}"/>
    <hyperlink ref="K42" r:id="rId291" display="http://www.brandexpression.com.au" xr:uid="{30FDEF55-06F7-4DCE-8950-BEA4A89A7181}"/>
    <hyperlink ref="K226" r:id="rId292" xr:uid="{324BC31D-9704-45BD-B4FD-0FA25D394034}"/>
    <hyperlink ref="J226" r:id="rId293" xr:uid="{21DD4023-9688-4C5D-9F46-E6D40AAD6710}"/>
    <hyperlink ref="K14" r:id="rId294" display="http://www.adrenalinmedia.com.au" xr:uid="{B2D7E7B2-74E4-4F8E-9B03-3234AEDB7A4A}"/>
    <hyperlink ref="K26" r:id="rId295" display="http://www.april5.com.au" xr:uid="{AB5E25FC-560C-4315-8460-B3D75784F042}"/>
    <hyperlink ref="J260" r:id="rId296" xr:uid="{583A2DF5-4FA1-46B3-B681-03D54A5705AE}"/>
    <hyperlink ref="J120" r:id="rId297" xr:uid="{68E698C0-8A18-4FDF-B752-E3555ECBF080}"/>
    <hyperlink ref="K120" r:id="rId298" xr:uid="{B341B7B5-3083-4789-9985-EA4AE1C887BE}"/>
    <hyperlink ref="J228" r:id="rId299" xr:uid="{59C8382E-3D0C-4B66-B1C1-C014A7AD0D3F}"/>
    <hyperlink ref="K228" r:id="rId300" xr:uid="{68BF28D9-13AE-4F61-8E2A-E4349299AE1A}"/>
    <hyperlink ref="J57" r:id="rId301" xr:uid="{9A565571-840B-4C66-A6DA-16178784D262}"/>
    <hyperlink ref="K57" r:id="rId302" xr:uid="{4C9EA60B-8CBA-4820-A4C8-21EF83365F02}"/>
    <hyperlink ref="J184" r:id="rId303" xr:uid="{90F6784D-9AFA-4AF5-9BFA-36E191687161}"/>
    <hyperlink ref="K184" r:id="rId304" xr:uid="{3204BAA7-409E-49DE-A652-FF5C2B72552E}"/>
    <hyperlink ref="J70" r:id="rId305" xr:uid="{A2F7E2E8-3DFF-46BA-B009-1C670C67604E}"/>
    <hyperlink ref="K70" r:id="rId306" xr:uid="{C4EA3D50-B132-4F21-941F-509E7771C703}"/>
    <hyperlink ref="J75" r:id="rId307" xr:uid="{9DF7018A-A55C-4DCD-A6BE-A15E540148EC}"/>
    <hyperlink ref="K75" r:id="rId308" xr:uid="{B19493C3-AA2F-4CB9-9E43-4FB0132E3B9C}"/>
    <hyperlink ref="J89" r:id="rId309" xr:uid="{E69B1AB6-EE9C-48EE-AB3D-83C94BF4FA89}"/>
    <hyperlink ref="K89" r:id="rId310" xr:uid="{4D711925-B080-47E2-9460-4498D0CC6C7C}"/>
    <hyperlink ref="J161" r:id="rId311" xr:uid="{5839B746-0E23-4358-BC0B-CB38680F6C81}"/>
    <hyperlink ref="J10" r:id="rId312" xr:uid="{B101D08A-23A9-4DE9-809F-46CC6A9D0449}"/>
    <hyperlink ref="J77" r:id="rId313" xr:uid="{EE75EF81-8657-4D1B-8AFD-1546C583D269}"/>
    <hyperlink ref="J12" r:id="rId314" xr:uid="{5F0D7D8D-E0E2-489C-BAE0-8D16A6D5E2B1}"/>
    <hyperlink ref="K12" r:id="rId315" xr:uid="{EBA0BB68-8EA6-42CC-B5C7-B5763EDECD69}"/>
    <hyperlink ref="J112" r:id="rId316" xr:uid="{3832019F-47BF-40D2-AE0F-4614022ACFBA}"/>
    <hyperlink ref="K112" r:id="rId317" xr:uid="{2D247116-1D15-4201-8D60-70EC24CFE7A7}"/>
    <hyperlink ref="J205" r:id="rId318" xr:uid="{4460DDC9-22C8-4C59-801E-EA04DF506D72}"/>
    <hyperlink ref="K205" r:id="rId319" xr:uid="{E44C3680-224D-45BD-8E56-35E39C60454A}"/>
    <hyperlink ref="J96" r:id="rId320" xr:uid="{AFAADDBA-521F-4703-A113-0094D7116325}"/>
    <hyperlink ref="K96" r:id="rId321" xr:uid="{84BB9ECE-B699-416A-9B14-F12E2E206995}"/>
    <hyperlink ref="J29" r:id="rId322" xr:uid="{0A789523-6F62-4B12-ACD8-EF1EC901650A}"/>
    <hyperlink ref="K29" r:id="rId323" xr:uid="{1F066460-CDFB-4E81-A3B9-324F209BAF49}"/>
    <hyperlink ref="J135" r:id="rId324" xr:uid="{7664EAEB-572B-46C4-BC27-37608C1E0F28}"/>
    <hyperlink ref="K135" r:id="rId325" xr:uid="{AF14E229-120C-4E71-96C9-68D793B14B6F}"/>
    <hyperlink ref="J45" r:id="rId326" xr:uid="{9803FF1D-D71A-4CD4-A0BF-D87E758B1254}"/>
    <hyperlink ref="K45" r:id="rId327" xr:uid="{2291582C-5F92-4922-AB42-46C0C1ADA95A}"/>
    <hyperlink ref="J180" r:id="rId328" xr:uid="{60B491C7-E7E8-4848-A2B8-D58FA0E8CB14}"/>
    <hyperlink ref="K180" r:id="rId329" xr:uid="{17AD7B37-A5A4-4152-B0D9-F91A7B0EECD9}"/>
    <hyperlink ref="K51" r:id="rId330" xr:uid="{E465BA54-51E5-478C-8D85-D02EE3942E0D}"/>
    <hyperlink ref="J177" r:id="rId331" xr:uid="{12B3C7B5-7565-4991-B120-768C92A46631}"/>
    <hyperlink ref="K177" r:id="rId332" xr:uid="{F00A2E08-C344-410D-9B2E-3D85624B19CD}"/>
    <hyperlink ref="J31" r:id="rId333" xr:uid="{F3BBE199-4502-4F29-8815-C1E8307B5711}"/>
    <hyperlink ref="K113" r:id="rId334" xr:uid="{9A38A6B5-9927-4330-807C-2219492479DE}"/>
    <hyperlink ref="J33" r:id="rId335" xr:uid="{5E2FB740-CE81-4A0E-A3F7-AEFD96796A94}"/>
    <hyperlink ref="K33" r:id="rId336" xr:uid="{D4F44994-1E08-4F41-8B14-7F8ECB0E653E}"/>
    <hyperlink ref="J201" r:id="rId337" xr:uid="{10ACB54C-75D5-4242-9007-35BA578294E0}"/>
    <hyperlink ref="K201" r:id="rId338" xr:uid="{C2370415-A1B8-45CF-9AB7-07405BEB59C6}"/>
    <hyperlink ref="J238" r:id="rId339" xr:uid="{C7148F8F-84D0-4CF2-96E2-8D3C6BBA1A06}"/>
    <hyperlink ref="J237" r:id="rId340" xr:uid="{08175A7C-92E0-495B-9F71-057E4101178A}"/>
    <hyperlink ref="K237" r:id="rId341" xr:uid="{2647687A-E0C3-4C83-AD3E-C21D30EA73C5}"/>
    <hyperlink ref="J153" r:id="rId342" xr:uid="{36FA4247-A382-4752-B7D9-1919B4BFA6B8}"/>
    <hyperlink ref="K153" r:id="rId343" xr:uid="{FF3DF48B-7C3C-44BC-ADD8-F0FDBA6B2B35}"/>
    <hyperlink ref="J132" r:id="rId344" xr:uid="{8E2BE5C0-8E38-4575-A052-0B230233999C}"/>
    <hyperlink ref="K132" r:id="rId345" xr:uid="{1429249D-838C-4FE6-98B9-3217276EC1BC}"/>
    <hyperlink ref="K110" r:id="rId346" xr:uid="{45F26DF6-ADF7-4904-92D1-3FA1C7C799BE}"/>
    <hyperlink ref="J47" r:id="rId347" xr:uid="{BDFCDA94-33F8-4FDF-9C39-3ABD1631EDDF}"/>
    <hyperlink ref="J24" r:id="rId348" xr:uid="{5C6EEB90-8051-482A-9721-144E5C67186D}"/>
    <hyperlink ref="K24" r:id="rId349" xr:uid="{A911BB5E-09FE-4014-B20A-0EEE00B7CCB3}"/>
    <hyperlink ref="J254" r:id="rId350" xr:uid="{E87F4645-410B-4566-B17C-23D800C6645E}"/>
    <hyperlink ref="K254" r:id="rId351" xr:uid="{00A0F83F-DD4B-423B-9ED5-27F4A7308ACB}"/>
    <hyperlink ref="K49" r:id="rId352" xr:uid="{3F4FF927-DA39-4671-A8E1-5EDAB58D16B8}"/>
    <hyperlink ref="J49" r:id="rId353" xr:uid="{68B19061-6DBB-4599-B4C8-0CA40643C08A}"/>
    <hyperlink ref="K235" r:id="rId354" xr:uid="{B5845197-2858-4E77-8E7F-075514594B8F}"/>
    <hyperlink ref="J140" r:id="rId355" xr:uid="{A2DC7BCB-4920-4CD7-B4F0-56F32B98776A}"/>
    <hyperlink ref="K84" r:id="rId356" xr:uid="{700304DA-2F12-4D28-B67B-BDDF2C10D9F5}"/>
    <hyperlink ref="J136" r:id="rId357" xr:uid="{653DF154-51AF-42E1-A5E8-4E89E1B2D505}"/>
    <hyperlink ref="K136" r:id="rId358" xr:uid="{4612CF01-F71B-472C-B397-3654D743FE84}"/>
    <hyperlink ref="K168" r:id="rId359" xr:uid="{7D94EA95-6538-4783-8785-B266758040B7}"/>
    <hyperlink ref="J160" r:id="rId360" xr:uid="{A35658BD-4E13-4A8B-A718-28FE624026CF}"/>
    <hyperlink ref="J221" r:id="rId361" xr:uid="{4F395644-5A72-408B-8610-E9A9AF70EEAB}"/>
    <hyperlink ref="J168" r:id="rId362" xr:uid="{244BE4BA-6114-4D66-8D1F-B459380237DA}"/>
    <hyperlink ref="K160" r:id="rId363" xr:uid="{32DCD839-CD47-40E5-B3E3-75B62ACEE210}"/>
    <hyperlink ref="K221" r:id="rId364" xr:uid="{2C071017-3CD2-4DB4-8F69-2CCF22EBD873}"/>
    <hyperlink ref="J58" r:id="rId365" xr:uid="{CC4F6F89-9CE1-42C2-91A1-EE1C59D976E7}"/>
    <hyperlink ref="K58" r:id="rId366" xr:uid="{659208CF-5908-4825-8D05-79E340200A0F}"/>
    <hyperlink ref="J211" r:id="rId367" xr:uid="{C365C7EC-582E-4367-9E72-D7B72E09DF79}"/>
    <hyperlink ref="K211" r:id="rId368" xr:uid="{9EE00A95-8761-4F36-8DDF-DA08EE7CEB9A}"/>
    <hyperlink ref="K6" r:id="rId369" xr:uid="{851D3903-449D-4E24-B38B-BC5D4C18640E}"/>
    <hyperlink ref="J223" r:id="rId370" xr:uid="{2E630BEC-1302-4255-AF33-8D99CABF1692}"/>
    <hyperlink ref="K223" r:id="rId371" xr:uid="{81962BF2-07B2-418F-A5A3-00699F13A50F}"/>
    <hyperlink ref="J256" r:id="rId372" xr:uid="{1DBF688B-73E2-452C-965D-9DF1D4212B5E}"/>
    <hyperlink ref="K256" r:id="rId373" xr:uid="{6DC13031-2462-48A0-A092-EAAEB1B9812E}"/>
    <hyperlink ref="J126" r:id="rId374" xr:uid="{5D18CA23-3CF9-4DD5-96F5-33645246D458}"/>
    <hyperlink ref="K126" r:id="rId375" xr:uid="{0FD6210B-B0F6-4D78-9CA5-9A460F7B4431}"/>
    <hyperlink ref="J46" r:id="rId376" xr:uid="{3E9AA202-C52A-4436-886D-A5F2896C44CB}"/>
    <hyperlink ref="K46" r:id="rId377" xr:uid="{DAD8ADFD-2DB7-4141-90EA-9E17A665C09B}"/>
    <hyperlink ref="K163" r:id="rId378" xr:uid="{AB82BED2-C34B-4A06-8D84-E1F8048C13B7}"/>
    <hyperlink ref="J72" r:id="rId379" xr:uid="{DC307758-464B-4037-90D6-A2F6E6CA4EC2}"/>
    <hyperlink ref="K72" r:id="rId380" xr:uid="{E39EEF14-B588-437F-9815-BCF771A1AB39}"/>
    <hyperlink ref="K192" r:id="rId381" xr:uid="{4CCC46B4-792F-4633-A31C-4B8ABD7AE3A6}"/>
    <hyperlink ref="J207" r:id="rId382" xr:uid="{DEAF07C2-8303-49D8-A9A5-F57DED579AC2}"/>
    <hyperlink ref="J117" r:id="rId383" xr:uid="{B199938A-8CE2-432D-B6C3-EF63AD79219C}"/>
    <hyperlink ref="K183" r:id="rId384" xr:uid="{392C55B7-B591-4AB7-A730-4D5FB1E4731E}"/>
    <hyperlink ref="J242" r:id="rId385" xr:uid="{9CAA1201-8A9F-412F-88B7-8EA729C75D76}"/>
    <hyperlink ref="J165" r:id="rId386" xr:uid="{3AEF5B9B-EDB4-4855-A126-C24A47803CD0}"/>
    <hyperlink ref="J174" r:id="rId387" xr:uid="{353A63DF-1D83-4BE7-A8BA-73BEF87F12BD}"/>
    <hyperlink ref="K246" r:id="rId388" xr:uid="{6EA2CD09-8F2F-4790-83A1-7ADED3AD85D1}"/>
    <hyperlink ref="J246" r:id="rId389" xr:uid="{8DF9035A-1BF1-40F7-888B-0C2B02173DE6}"/>
    <hyperlink ref="J79" r:id="rId390" xr:uid="{016D5988-5C0C-46E0-8717-F8F6673C8268}"/>
    <hyperlink ref="J73" r:id="rId391" xr:uid="{0BDFE59F-54C5-4153-B54B-22C4AF7134C6}"/>
    <hyperlink ref="J215" r:id="rId392" xr:uid="{C8DE7780-CF83-4100-A6E3-A61A0673F168}"/>
    <hyperlink ref="K34" r:id="rId393" xr:uid="{FEAB7E2C-D639-40F1-9EC5-E68342750ADC}"/>
    <hyperlink ref="K212" r:id="rId394" xr:uid="{CAA9134C-EA06-4342-9BCD-10CACD20BDC2}"/>
    <hyperlink ref="J212" r:id="rId395" xr:uid="{E8252C1A-C344-4B31-A954-F24AFE67F7C0}"/>
    <hyperlink ref="J155" r:id="rId396" xr:uid="{2C45C74E-2751-46FD-BA49-DBD6AE8B3D87}"/>
    <hyperlink ref="K155" r:id="rId397" xr:uid="{2ADA05D3-4F3A-4960-A780-7D43CD05C04B}"/>
    <hyperlink ref="J129" r:id="rId398" xr:uid="{94D0F3A9-C9C3-4279-ABFC-F495F5527ED7}"/>
    <hyperlink ref="J97" r:id="rId399" xr:uid="{FFADCBFB-91DF-4AEA-A511-C8507B70042C}"/>
    <hyperlink ref="K97" r:id="rId400" xr:uid="{1C19066B-CF3E-4C0C-BD11-D177DE828DDF}"/>
    <hyperlink ref="J204" r:id="rId401" xr:uid="{BC0EA0A0-F893-449D-BCEE-A16DF0CB8407}"/>
    <hyperlink ref="K204" r:id="rId402" xr:uid="{5C8BD599-64DF-4A4D-8FBE-A026A941E599}"/>
    <hyperlink ref="J68" r:id="rId403" xr:uid="{4E289C96-612B-4FA7-BA6E-60E09CF0DBF3}"/>
    <hyperlink ref="K68" r:id="rId404" xr:uid="{02FD1247-B630-4D0E-B410-7CE2600320A8}"/>
    <hyperlink ref="J216" r:id="rId405" xr:uid="{2F818445-7137-4186-8C46-D2DA6B68CEA2}"/>
    <hyperlink ref="K216" r:id="rId406" xr:uid="{DB817842-C4AF-4DDF-BB75-A72F2DF9BE37}"/>
    <hyperlink ref="J176" r:id="rId407" xr:uid="{101044BE-274C-4F36-9C38-6869E363A555}"/>
    <hyperlink ref="K176" r:id="rId408" xr:uid="{77329F6B-22D5-48C4-B67E-D06031A0CE7E}"/>
    <hyperlink ref="J8" r:id="rId409" xr:uid="{78560FCA-1F26-4BA1-ADC2-79C1EA9B6460}"/>
    <hyperlink ref="K8" r:id="rId410" xr:uid="{7C64577A-DDA1-49C0-84FF-4F8B9BBF0F27}"/>
    <hyperlink ref="J92" r:id="rId411" xr:uid="{92F430C8-1DBD-4A2F-A9B3-9F223EADA490}"/>
    <hyperlink ref="K92" r:id="rId412" xr:uid="{8DC75095-ED3D-4EC2-B94E-003E0F38FBB1}"/>
    <hyperlink ref="J197" r:id="rId413" xr:uid="{C21309BC-CEAA-45AF-9E9B-DC8C7454B1E3}"/>
    <hyperlink ref="K197" r:id="rId414" xr:uid="{85574621-5B84-4B06-AFCC-E56E8A888060}"/>
    <hyperlink ref="J261" r:id="rId415" xr:uid="{A56417FB-B1B0-452D-9360-0FD50CD5F303}"/>
    <hyperlink ref="K261" r:id="rId416" xr:uid="{8C28B61B-3029-49C0-8348-E51BBAC0B20B}"/>
    <hyperlink ref="J116" r:id="rId417" xr:uid="{E2CBE9AD-B21B-4CE7-B20F-0E9EE82EE61D}"/>
    <hyperlink ref="K116" r:id="rId418" xr:uid="{09843AD3-3EC9-4164-834F-9C0E8CC7C959}"/>
    <hyperlink ref="J259" r:id="rId419" xr:uid="{5A9AE646-C04D-46C9-8DEF-DDDD858A688B}"/>
    <hyperlink ref="K259" r:id="rId420" xr:uid="{EE8462DC-E097-4199-BA70-C201567FCFF1}"/>
    <hyperlink ref="K95" r:id="rId421" xr:uid="{84ACCA9F-6F02-4A0E-A930-930D16C84C44}"/>
    <hyperlink ref="K198" r:id="rId422" xr:uid="{6592F043-B1CA-4AEC-BAFE-D02005FC51A0}"/>
    <hyperlink ref="J95" r:id="rId423" xr:uid="{6A552137-3D37-4D21-B068-F8B38A8E9AD9}"/>
    <hyperlink ref="J195" r:id="rId424" xr:uid="{32AB475A-1005-4CD1-AFCE-9FE82CFA96F0}"/>
    <hyperlink ref="K195" r:id="rId425" xr:uid="{4EA5B861-BE97-4151-B0A5-982D6B0FB0A5}"/>
    <hyperlink ref="J4" r:id="rId426" xr:uid="{43B7C982-AB35-41FB-94A9-CB819DD728B8}"/>
    <hyperlink ref="K4" r:id="rId427" xr:uid="{A6DDDA42-5828-4B0E-B78D-CDF4E077E242}"/>
    <hyperlink ref="J252" r:id="rId428" xr:uid="{35DECF26-573C-4A6A-87E8-98339CE7A8BF}"/>
    <hyperlink ref="K252" r:id="rId429" xr:uid="{51AB35EB-5BFC-44B3-8D0A-A7FE4C3264B8}"/>
    <hyperlink ref="J255" r:id="rId430" xr:uid="{B14807D4-DB66-4A35-8AC2-DA005F90C08C}"/>
    <hyperlink ref="K255" r:id="rId431" xr:uid="{073658DF-5F03-4253-B4F5-35F14F2352A8}"/>
    <hyperlink ref="J9" r:id="rId432" xr:uid="{92E44E07-F378-4E78-9819-5B9FC787DDBF}"/>
    <hyperlink ref="K9" r:id="rId433" xr:uid="{87CD219D-6F24-4743-AF0A-D8758DB7843B}"/>
    <hyperlink ref="J65" r:id="rId434" xr:uid="{5379E2A0-53D6-487F-9B9B-7E73BBBDEA8B}"/>
    <hyperlink ref="K65" r:id="rId435" xr:uid="{6498A88A-3ACA-4652-8C50-4C2D999285B4}"/>
    <hyperlink ref="J193" r:id="rId436" xr:uid="{4AD7F66A-3CD6-486C-88A9-4BFAC4845D1B}"/>
    <hyperlink ref="K193" r:id="rId437" xr:uid="{EC5F676F-3FFD-4CBF-8074-FA9050647CDE}"/>
    <hyperlink ref="J185" r:id="rId438" xr:uid="{C54ECF06-E578-4302-ABB3-4AC20528CC29}"/>
    <hyperlink ref="K185" r:id="rId439" xr:uid="{6E1A3247-55BF-4F0E-9660-FA1E29104708}"/>
    <hyperlink ref="J111" r:id="rId440" xr:uid="{6CB6A9D9-CF68-420D-B9ED-B6B935BA51CE}"/>
    <hyperlink ref="K111" r:id="rId441" xr:uid="{9ABBB123-D2DF-44C4-A932-6F0CD04760B6}"/>
    <hyperlink ref="J107" r:id="rId442" xr:uid="{65CB4B4F-DDDC-4706-9A82-C7E04EE01824}"/>
    <hyperlink ref="K107" r:id="rId443" xr:uid="{1DA06F4A-F9C2-411E-92B2-ADC5FE1795EA}"/>
    <hyperlink ref="J115" r:id="rId444" xr:uid="{EEF375A6-1498-4E5F-8FDD-AAA3E60A8047}"/>
    <hyperlink ref="K115" r:id="rId445" xr:uid="{B2F84AB4-E6FD-410F-8C62-ED6FCE9636C0}"/>
    <hyperlink ref="J218" r:id="rId446" xr:uid="{272B6143-16F4-47E3-AFD1-7971D1349CB3}"/>
    <hyperlink ref="J170" r:id="rId447" xr:uid="{17C4951B-2956-429E-9B51-B5E4D82F0A30}"/>
    <hyperlink ref="K170" r:id="rId448" xr:uid="{BD4FEC2C-D7B5-4231-A19B-DB4F405A9C66}"/>
    <hyperlink ref="J162" r:id="rId449" xr:uid="{6FF80B0B-AA3A-4DE5-A1BB-C0281F476EBA}"/>
    <hyperlink ref="K162" r:id="rId450" xr:uid="{18514652-6646-4723-8261-C981A9707DAE}"/>
    <hyperlink ref="J41" r:id="rId451" xr:uid="{5035AE96-7333-4230-9476-E1CD73302E57}"/>
    <hyperlink ref="K41" r:id="rId452" xr:uid="{C2046C18-997A-4A33-8D8B-500E331A36F1}"/>
    <hyperlink ref="J152" r:id="rId453" xr:uid="{4FCFB816-807A-49E2-A73D-4E3190F1D212}"/>
    <hyperlink ref="K152" r:id="rId454" xr:uid="{DF1BDEEC-2A6C-41EC-B710-2992316BF3C0}"/>
    <hyperlink ref="J131" r:id="rId455" xr:uid="{1E4371A4-C2D1-4994-801B-CB3652C10E02}"/>
    <hyperlink ref="K131" r:id="rId456" xr:uid="{499EFC9F-1219-48BB-8AC8-820FDAC12E2A}"/>
    <hyperlink ref="J234" r:id="rId457" xr:uid="{E73876B9-61BE-4D25-8093-EB9F94E0B06D}"/>
    <hyperlink ref="K234" r:id="rId458" xr:uid="{1DF31E1B-3313-4B8E-8840-0453AC240895}"/>
    <hyperlink ref="J141" r:id="rId459" xr:uid="{87909311-A445-4836-964C-DBEE32672958}"/>
    <hyperlink ref="K141" r:id="rId460" xr:uid="{7FD0DF05-0CB4-4561-88C6-1BEB2711A8B9}"/>
    <hyperlink ref="K103" r:id="rId461" xr:uid="{8A985430-2F55-485A-9AB9-B35F4180250B}"/>
    <hyperlink ref="J39" r:id="rId462" xr:uid="{C7B98E86-5583-4C49-8BA0-AE896ADEE472}"/>
    <hyperlink ref="K39" r:id="rId463" xr:uid="{AE60A733-CD3B-4054-90DA-C6B03F80D147}"/>
    <hyperlink ref="J150" r:id="rId464" xr:uid="{B4EA3707-A079-4A0C-A656-9743DBBD8FE8}"/>
    <hyperlink ref="K150" r:id="rId465" xr:uid="{B018AAE7-3F09-4937-B596-E84571510B84}"/>
    <hyperlink ref="J202" r:id="rId466" xr:uid="{EA392968-56A8-4DFD-8F92-1EA8AB9B2056}"/>
    <hyperlink ref="K202" r:id="rId467" xr:uid="{58A6722D-7C1E-42D1-B58C-7D65FAE8CEF4}"/>
    <hyperlink ref="K54" r:id="rId468" xr:uid="{4D60035E-515C-43EB-918C-21C2D5CB3244}"/>
    <hyperlink ref="K32" r:id="rId469" xr:uid="{8B844AC3-A2E3-4E54-9CA8-5B87F1700390}"/>
    <hyperlink ref="J6" r:id="rId470" xr:uid="{637F56C2-DD33-41C0-BF5D-12BF7646452C}"/>
  </hyperlinks>
  <pageMargins left="0.75" right="0.75" top="1" bottom="1" header="0.5" footer="0.5"/>
  <pageSetup orientation="portrait" horizontalDpi="1200" verticalDpi="1200" r:id="rId47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B280D-3D05-4566-9B40-83B6EA699E1F}">
  <dimension ref="A1:V267"/>
  <sheetViews>
    <sheetView topLeftCell="F1" zoomScale="55" zoomScaleNormal="55" workbookViewId="0">
      <pane ySplit="3" topLeftCell="A4" activePane="bottomLeft" state="frozen"/>
      <selection pane="bottomLeft" activeCell="N18" sqref="N18"/>
    </sheetView>
  </sheetViews>
  <sheetFormatPr defaultColWidth="8.7265625" defaultRowHeight="28.5" customHeight="1" x14ac:dyDescent="0.35"/>
  <cols>
    <col min="1" max="1" width="34.81640625" style="2" bestFit="1" customWidth="1"/>
    <col min="2" max="2" width="15.26953125" style="2" customWidth="1"/>
    <col min="3" max="3" width="25.1796875" style="2" customWidth="1"/>
    <col min="4" max="4" width="23.81640625" style="2" customWidth="1"/>
    <col min="5" max="5" width="34.81640625" style="2" customWidth="1"/>
    <col min="6" max="6" width="13.54296875" style="2" customWidth="1"/>
    <col min="7" max="7" width="18.26953125" style="2" customWidth="1"/>
    <col min="8" max="8" width="15.81640625" style="2" customWidth="1"/>
    <col min="9" max="9" width="14.54296875" style="2" customWidth="1"/>
    <col min="10" max="10" width="41.7265625" style="2" customWidth="1"/>
    <col min="11" max="11" width="48.1796875" style="2" customWidth="1"/>
    <col min="12" max="22" width="33.1796875" style="2" customWidth="1"/>
    <col min="23" max="16384" width="8.7265625" style="1"/>
  </cols>
  <sheetData>
    <row r="1" spans="1:22" s="74" customFormat="1" ht="67.5" customHeight="1" thickBot="1" x14ac:dyDescent="0.4">
      <c r="A1" s="65" t="s">
        <v>0</v>
      </c>
      <c r="B1" s="73"/>
      <c r="C1" s="73"/>
      <c r="D1" s="73"/>
      <c r="E1" s="73"/>
      <c r="F1" s="73"/>
      <c r="G1" s="73"/>
    </row>
    <row r="2" spans="1:22" ht="28.5" customHeight="1" thickBot="1" x14ac:dyDescent="0.4">
      <c r="A2" s="85" t="s">
        <v>1</v>
      </c>
      <c r="B2" s="84" t="s">
        <v>2</v>
      </c>
      <c r="C2" s="84" t="s">
        <v>3</v>
      </c>
      <c r="D2" s="84" t="s">
        <v>4</v>
      </c>
      <c r="E2" s="84" t="s">
        <v>5</v>
      </c>
      <c r="F2" s="84" t="s">
        <v>6</v>
      </c>
      <c r="G2" s="84" t="s">
        <v>7</v>
      </c>
      <c r="H2" s="84" t="s">
        <v>8</v>
      </c>
      <c r="I2" s="84" t="s">
        <v>9</v>
      </c>
      <c r="J2" s="84" t="s">
        <v>10</v>
      </c>
      <c r="K2" s="82" t="s">
        <v>11</v>
      </c>
      <c r="L2" s="103" t="s">
        <v>17</v>
      </c>
      <c r="M2" s="104"/>
      <c r="N2" s="104"/>
      <c r="O2" s="104"/>
      <c r="P2" s="105"/>
      <c r="Q2" s="106" t="s">
        <v>18</v>
      </c>
      <c r="R2" s="107"/>
      <c r="S2" s="107"/>
      <c r="T2" s="107"/>
      <c r="U2" s="107"/>
      <c r="V2" s="108"/>
    </row>
    <row r="3" spans="1:22" ht="49" customHeight="1" x14ac:dyDescent="0.35">
      <c r="A3" s="85"/>
      <c r="B3" s="84"/>
      <c r="C3" s="84"/>
      <c r="D3" s="84"/>
      <c r="E3" s="84"/>
      <c r="F3" s="84"/>
      <c r="G3" s="84"/>
      <c r="H3" s="84"/>
      <c r="I3" s="84"/>
      <c r="J3" s="84"/>
      <c r="K3" s="83"/>
      <c r="L3" s="18" t="s">
        <v>47</v>
      </c>
      <c r="M3" s="19" t="s">
        <v>48</v>
      </c>
      <c r="N3" s="20" t="s">
        <v>49</v>
      </c>
      <c r="O3" s="19" t="s">
        <v>50</v>
      </c>
      <c r="P3" s="21" t="s">
        <v>51</v>
      </c>
      <c r="Q3" s="22" t="s">
        <v>52</v>
      </c>
      <c r="R3" s="23" t="s">
        <v>53</v>
      </c>
      <c r="S3" s="23" t="s">
        <v>54</v>
      </c>
      <c r="T3" s="23" t="s">
        <v>55</v>
      </c>
      <c r="U3" s="23" t="s">
        <v>56</v>
      </c>
      <c r="V3" s="24" t="s">
        <v>57</v>
      </c>
    </row>
    <row r="4" spans="1:22" ht="28.5" customHeight="1" x14ac:dyDescent="0.35">
      <c r="A4" s="36" t="s">
        <v>79</v>
      </c>
      <c r="B4" s="66">
        <v>44617164020</v>
      </c>
      <c r="C4" s="66" t="s">
        <v>80</v>
      </c>
      <c r="D4" s="66" t="s">
        <v>81</v>
      </c>
      <c r="E4" s="66" t="s">
        <v>82</v>
      </c>
      <c r="F4" s="66" t="s">
        <v>83</v>
      </c>
      <c r="G4" s="66">
        <v>2095</v>
      </c>
      <c r="H4" s="67"/>
      <c r="I4" s="67" t="s">
        <v>84</v>
      </c>
      <c r="J4" s="68" t="s">
        <v>85</v>
      </c>
      <c r="K4" s="68" t="s">
        <v>86</v>
      </c>
      <c r="L4" s="44"/>
      <c r="M4" s="45"/>
      <c r="N4" s="45"/>
      <c r="O4" s="45"/>
      <c r="P4" s="46"/>
      <c r="Q4" s="47"/>
      <c r="R4" s="48"/>
      <c r="S4" s="48"/>
      <c r="T4" s="48"/>
      <c r="U4" s="48"/>
      <c r="V4" s="49"/>
    </row>
    <row r="5" spans="1:22" ht="28.5" customHeight="1" x14ac:dyDescent="0.35">
      <c r="A5" s="36" t="s">
        <v>88</v>
      </c>
      <c r="B5" s="66">
        <v>19602191926</v>
      </c>
      <c r="C5" s="66" t="s">
        <v>87</v>
      </c>
      <c r="D5" s="66" t="s">
        <v>89</v>
      </c>
      <c r="E5" s="66" t="s">
        <v>90</v>
      </c>
      <c r="F5" s="66" t="s">
        <v>83</v>
      </c>
      <c r="G5" s="66" t="str">
        <f>"2015"</f>
        <v>2015</v>
      </c>
      <c r="H5" s="66" t="str">
        <f>"02 9516 3466"</f>
        <v>02 9516 3466</v>
      </c>
      <c r="I5" s="66" t="str">
        <f>"0412944144"</f>
        <v>0412944144</v>
      </c>
      <c r="J5" s="68" t="s">
        <v>91</v>
      </c>
      <c r="K5" s="68" t="s">
        <v>92</v>
      </c>
      <c r="L5" s="44" t="s">
        <v>87</v>
      </c>
      <c r="M5" s="45" t="s">
        <v>87</v>
      </c>
      <c r="N5" s="45" t="s">
        <v>87</v>
      </c>
      <c r="O5" s="45" t="s">
        <v>87</v>
      </c>
      <c r="P5" s="46" t="s">
        <v>87</v>
      </c>
      <c r="Q5" s="47"/>
      <c r="R5" s="48"/>
      <c r="S5" s="48"/>
      <c r="T5" s="48"/>
      <c r="U5" s="48"/>
      <c r="V5" s="49"/>
    </row>
    <row r="6" spans="1:22" ht="28.5" customHeight="1" x14ac:dyDescent="0.35">
      <c r="A6" s="36" t="s">
        <v>93</v>
      </c>
      <c r="B6" s="66">
        <v>98131937098</v>
      </c>
      <c r="C6" s="66" t="s">
        <v>80</v>
      </c>
      <c r="D6" s="66" t="s">
        <v>94</v>
      </c>
      <c r="E6" s="66" t="s">
        <v>95</v>
      </c>
      <c r="F6" s="66" t="s">
        <v>83</v>
      </c>
      <c r="G6" s="66">
        <v>2250</v>
      </c>
      <c r="H6" s="66" t="s">
        <v>96</v>
      </c>
      <c r="I6" s="67" t="s">
        <v>97</v>
      </c>
      <c r="J6" s="68" t="s">
        <v>98</v>
      </c>
      <c r="K6" s="68" t="s">
        <v>99</v>
      </c>
      <c r="L6" s="44"/>
      <c r="M6" s="45"/>
      <c r="N6" s="45"/>
      <c r="O6" s="45"/>
      <c r="P6" s="46"/>
      <c r="Q6" s="47"/>
      <c r="R6" s="48"/>
      <c r="S6" s="48"/>
      <c r="T6" s="48"/>
      <c r="U6" s="48"/>
      <c r="V6" s="49"/>
    </row>
    <row r="7" spans="1:22" ht="28.5" customHeight="1" x14ac:dyDescent="0.35">
      <c r="A7" s="36" t="s">
        <v>100</v>
      </c>
      <c r="B7" s="66">
        <v>38120013041</v>
      </c>
      <c r="C7" s="66" t="s">
        <v>80</v>
      </c>
      <c r="D7" s="66" t="s">
        <v>101</v>
      </c>
      <c r="E7" s="66" t="s">
        <v>90</v>
      </c>
      <c r="F7" s="66" t="s">
        <v>83</v>
      </c>
      <c r="G7" s="66" t="str">
        <f>"2039"</f>
        <v>2039</v>
      </c>
      <c r="H7" s="66" t="str">
        <f>"02 9818 6544"</f>
        <v>02 9818 6544</v>
      </c>
      <c r="I7" s="66" t="str">
        <f>"0412551275"</f>
        <v>0412551275</v>
      </c>
      <c r="J7" s="68" t="s">
        <v>102</v>
      </c>
      <c r="K7" s="68" t="s">
        <v>103</v>
      </c>
      <c r="L7" s="44"/>
      <c r="M7" s="45"/>
      <c r="N7" s="45"/>
      <c r="O7" s="45"/>
      <c r="P7" s="46"/>
      <c r="Q7" s="47"/>
      <c r="R7" s="48"/>
      <c r="S7" s="48"/>
      <c r="T7" s="48"/>
      <c r="U7" s="48"/>
      <c r="V7" s="49"/>
    </row>
    <row r="8" spans="1:22" ht="28.5" customHeight="1" x14ac:dyDescent="0.35">
      <c r="A8" s="36" t="s">
        <v>104</v>
      </c>
      <c r="B8" s="66">
        <v>41140993415</v>
      </c>
      <c r="C8" s="66" t="s">
        <v>80</v>
      </c>
      <c r="D8" s="66" t="s">
        <v>105</v>
      </c>
      <c r="E8" s="66" t="s">
        <v>106</v>
      </c>
      <c r="F8" s="66" t="s">
        <v>107</v>
      </c>
      <c r="G8" s="66">
        <v>2600</v>
      </c>
      <c r="H8" s="66" t="s">
        <v>108</v>
      </c>
      <c r="I8" s="67" t="s">
        <v>109</v>
      </c>
      <c r="J8" s="68" t="s">
        <v>110</v>
      </c>
      <c r="K8" s="68" t="s">
        <v>111</v>
      </c>
      <c r="L8" s="44"/>
      <c r="M8" s="45"/>
      <c r="N8" s="45"/>
      <c r="O8" s="45"/>
      <c r="P8" s="46"/>
      <c r="Q8" s="47"/>
      <c r="R8" s="48"/>
      <c r="S8" s="48"/>
      <c r="T8" s="48"/>
      <c r="U8" s="48"/>
      <c r="V8" s="49"/>
    </row>
    <row r="9" spans="1:22" ht="28.5" customHeight="1" x14ac:dyDescent="0.35">
      <c r="A9" s="36" t="s">
        <v>112</v>
      </c>
      <c r="B9" s="66">
        <v>15600234937</v>
      </c>
      <c r="C9" s="66" t="s">
        <v>80</v>
      </c>
      <c r="D9" s="66" t="s">
        <v>113</v>
      </c>
      <c r="E9" s="66" t="s">
        <v>114</v>
      </c>
      <c r="F9" s="66" t="s">
        <v>115</v>
      </c>
      <c r="G9" s="66">
        <v>4217</v>
      </c>
      <c r="H9" s="67"/>
      <c r="I9" s="67" t="s">
        <v>116</v>
      </c>
      <c r="J9" s="68" t="s">
        <v>117</v>
      </c>
      <c r="K9" s="68" t="s">
        <v>118</v>
      </c>
      <c r="L9" s="44"/>
      <c r="M9" s="45"/>
      <c r="N9" s="45"/>
      <c r="O9" s="45"/>
      <c r="P9" s="46"/>
      <c r="Q9" s="47"/>
      <c r="R9" s="48"/>
      <c r="S9" s="48"/>
      <c r="T9" s="48"/>
      <c r="U9" s="48"/>
      <c r="V9" s="49"/>
    </row>
    <row r="10" spans="1:22" ht="28.5" customHeight="1" x14ac:dyDescent="0.35">
      <c r="A10" s="72" t="s">
        <v>119</v>
      </c>
      <c r="B10" s="69">
        <v>84630326742</v>
      </c>
      <c r="C10" s="69" t="s">
        <v>80</v>
      </c>
      <c r="D10" s="69" t="s">
        <v>120</v>
      </c>
      <c r="E10" s="69" t="s">
        <v>121</v>
      </c>
      <c r="F10" s="69" t="s">
        <v>83</v>
      </c>
      <c r="G10" s="69">
        <v>2037</v>
      </c>
      <c r="H10" s="69" t="s">
        <v>122</v>
      </c>
      <c r="I10" s="71" t="s">
        <v>123</v>
      </c>
      <c r="J10" s="70" t="s">
        <v>124</v>
      </c>
      <c r="K10" s="70" t="s">
        <v>125</v>
      </c>
      <c r="L10" s="44"/>
      <c r="M10" s="45"/>
      <c r="N10" s="45"/>
      <c r="O10" s="45"/>
      <c r="P10" s="46"/>
      <c r="Q10" s="47"/>
      <c r="R10" s="48"/>
      <c r="S10" s="48"/>
      <c r="T10" s="48"/>
      <c r="U10" s="48"/>
      <c r="V10" s="49"/>
    </row>
    <row r="11" spans="1:22" ht="28.5" customHeight="1" x14ac:dyDescent="0.35">
      <c r="A11" s="36" t="s">
        <v>126</v>
      </c>
      <c r="B11" s="66">
        <v>24117583598</v>
      </c>
      <c r="C11" s="66" t="s">
        <v>80</v>
      </c>
      <c r="D11" s="66" t="s">
        <v>127</v>
      </c>
      <c r="E11" s="66" t="s">
        <v>90</v>
      </c>
      <c r="F11" s="66" t="s">
        <v>83</v>
      </c>
      <c r="G11" s="66" t="str">
        <f>"2217"</f>
        <v>2217</v>
      </c>
      <c r="H11" s="66" t="str">
        <f>"02 8007 4616"</f>
        <v>02 8007 4616</v>
      </c>
      <c r="I11" s="66" t="str">
        <f>""</f>
        <v/>
      </c>
      <c r="J11" s="68" t="s">
        <v>128</v>
      </c>
      <c r="K11" s="68" t="s">
        <v>129</v>
      </c>
      <c r="L11" s="44"/>
      <c r="M11" s="45"/>
      <c r="N11" s="45"/>
      <c r="O11" s="45"/>
      <c r="P11" s="46"/>
      <c r="Q11" s="47"/>
      <c r="R11" s="48"/>
      <c r="S11" s="48"/>
      <c r="T11" s="48"/>
      <c r="U11" s="48"/>
      <c r="V11" s="49"/>
    </row>
    <row r="12" spans="1:22" ht="28.5" customHeight="1" x14ac:dyDescent="0.35">
      <c r="A12" s="72" t="s">
        <v>130</v>
      </c>
      <c r="B12" s="69">
        <v>39153093111</v>
      </c>
      <c r="C12" s="69" t="s">
        <v>80</v>
      </c>
      <c r="D12" s="69" t="s">
        <v>131</v>
      </c>
      <c r="E12" s="69" t="s">
        <v>132</v>
      </c>
      <c r="F12" s="69" t="s">
        <v>83</v>
      </c>
      <c r="G12" s="69">
        <v>2000</v>
      </c>
      <c r="H12" s="69" t="s">
        <v>133</v>
      </c>
      <c r="I12" s="71" t="s">
        <v>134</v>
      </c>
      <c r="J12" s="70" t="s">
        <v>135</v>
      </c>
      <c r="K12" s="70" t="s">
        <v>136</v>
      </c>
      <c r="L12" s="44"/>
      <c r="M12" s="45"/>
      <c r="N12" s="45"/>
      <c r="O12" s="45"/>
      <c r="P12" s="46"/>
      <c r="Q12" s="47"/>
      <c r="R12" s="48"/>
      <c r="S12" s="48"/>
      <c r="T12" s="48"/>
      <c r="U12" s="48"/>
      <c r="V12" s="49"/>
    </row>
    <row r="13" spans="1:22" ht="28.5" customHeight="1" x14ac:dyDescent="0.35">
      <c r="A13" s="36" t="s">
        <v>137</v>
      </c>
      <c r="B13" s="66">
        <v>75160381706</v>
      </c>
      <c r="C13" s="66" t="s">
        <v>80</v>
      </c>
      <c r="D13" s="66" t="s">
        <v>138</v>
      </c>
      <c r="E13" s="66" t="s">
        <v>139</v>
      </c>
      <c r="F13" s="66" t="s">
        <v>83</v>
      </c>
      <c r="G13" s="66" t="str">
        <f>"2100"</f>
        <v>2100</v>
      </c>
      <c r="H13" s="66"/>
      <c r="I13" s="66" t="str">
        <f>"0411894630"</f>
        <v>0411894630</v>
      </c>
      <c r="J13" s="68" t="s">
        <v>140</v>
      </c>
      <c r="K13" s="68" t="s">
        <v>141</v>
      </c>
      <c r="L13" s="44"/>
      <c r="M13" s="45"/>
      <c r="N13" s="45"/>
      <c r="O13" s="45"/>
      <c r="P13" s="46"/>
      <c r="Q13" s="47"/>
      <c r="R13" s="48"/>
      <c r="S13" s="48"/>
      <c r="T13" s="48"/>
      <c r="U13" s="48"/>
      <c r="V13" s="49"/>
    </row>
    <row r="14" spans="1:22" ht="28.5" customHeight="1" x14ac:dyDescent="0.35">
      <c r="A14" s="36" t="s">
        <v>142</v>
      </c>
      <c r="B14" s="66">
        <v>51109250348</v>
      </c>
      <c r="C14" s="66" t="s">
        <v>80</v>
      </c>
      <c r="D14" s="66" t="s">
        <v>143</v>
      </c>
      <c r="E14" s="66" t="s">
        <v>90</v>
      </c>
      <c r="F14" s="66" t="s">
        <v>83</v>
      </c>
      <c r="G14" s="66" t="str">
        <f>"2007"</f>
        <v>2007</v>
      </c>
      <c r="H14" s="66" t="str">
        <f>"02 9280 0550"</f>
        <v>02 9280 0550</v>
      </c>
      <c r="I14" s="66"/>
      <c r="J14" s="68" t="s">
        <v>144</v>
      </c>
      <c r="K14" s="68" t="s">
        <v>145</v>
      </c>
      <c r="L14" s="44"/>
      <c r="M14" s="45"/>
      <c r="N14" s="45"/>
      <c r="O14" s="45"/>
      <c r="P14" s="46"/>
      <c r="Q14" s="47"/>
      <c r="R14" s="48"/>
      <c r="S14" s="48"/>
      <c r="T14" s="48"/>
      <c r="U14" s="48"/>
      <c r="V14" s="49"/>
    </row>
    <row r="15" spans="1:22" ht="28.5" customHeight="1" x14ac:dyDescent="0.35">
      <c r="A15" s="36" t="s">
        <v>146</v>
      </c>
      <c r="B15" s="66">
        <v>30616740839</v>
      </c>
      <c r="C15" s="66" t="s">
        <v>80</v>
      </c>
      <c r="D15" s="66" t="s">
        <v>147</v>
      </c>
      <c r="E15" s="66" t="s">
        <v>90</v>
      </c>
      <c r="F15" s="66" t="s">
        <v>83</v>
      </c>
      <c r="G15" s="66" t="str">
        <f>"2029"</f>
        <v>2029</v>
      </c>
      <c r="H15" s="66"/>
      <c r="I15" s="66" t="str">
        <f>"0416103508"</f>
        <v>0416103508</v>
      </c>
      <c r="J15" s="68" t="s">
        <v>148</v>
      </c>
      <c r="K15" s="68" t="s">
        <v>149</v>
      </c>
      <c r="L15" s="44"/>
      <c r="M15" s="45"/>
      <c r="N15" s="45"/>
      <c r="O15" s="45"/>
      <c r="P15" s="46"/>
      <c r="Q15" s="47"/>
      <c r="R15" s="48"/>
      <c r="S15" s="48"/>
      <c r="T15" s="48"/>
      <c r="U15" s="48"/>
      <c r="V15" s="49"/>
    </row>
    <row r="16" spans="1:22" ht="28.5" customHeight="1" x14ac:dyDescent="0.35">
      <c r="A16" s="36" t="s">
        <v>150</v>
      </c>
      <c r="B16" s="66">
        <v>42078658778</v>
      </c>
      <c r="C16" s="66" t="s">
        <v>80</v>
      </c>
      <c r="D16" s="66" t="s">
        <v>151</v>
      </c>
      <c r="E16" s="66" t="s">
        <v>152</v>
      </c>
      <c r="F16" s="66" t="s">
        <v>83</v>
      </c>
      <c r="G16" s="66" t="str">
        <f>"2010"</f>
        <v>2010</v>
      </c>
      <c r="H16" s="66" t="str">
        <f>"02 8354 4401"</f>
        <v>02 8354 4401</v>
      </c>
      <c r="I16" s="66" t="str">
        <f>"0419401581"</f>
        <v>0419401581</v>
      </c>
      <c r="J16" s="68" t="s">
        <v>153</v>
      </c>
      <c r="K16" s="68" t="s">
        <v>154</v>
      </c>
      <c r="L16" s="44"/>
      <c r="M16" s="45"/>
      <c r="N16" s="45"/>
      <c r="O16" s="45"/>
      <c r="P16" s="46"/>
      <c r="Q16" s="47"/>
      <c r="R16" s="48"/>
      <c r="S16" s="48"/>
      <c r="T16" s="48"/>
      <c r="U16" s="48"/>
      <c r="V16" s="49"/>
    </row>
    <row r="17" spans="1:22" ht="28.5" customHeight="1" x14ac:dyDescent="0.35">
      <c r="A17" s="36" t="s">
        <v>155</v>
      </c>
      <c r="B17" s="66">
        <v>63123418986</v>
      </c>
      <c r="C17" s="66" t="s">
        <v>80</v>
      </c>
      <c r="D17" s="66" t="s">
        <v>156</v>
      </c>
      <c r="E17" s="66" t="s">
        <v>90</v>
      </c>
      <c r="F17" s="66" t="s">
        <v>83</v>
      </c>
      <c r="G17" s="66" t="str">
        <f>"2010"</f>
        <v>2010</v>
      </c>
      <c r="H17" s="66" t="str">
        <f>"02 9779 0999"</f>
        <v>02 9779 0999</v>
      </c>
      <c r="I17" s="66" t="str">
        <f>"0401811930"</f>
        <v>0401811930</v>
      </c>
      <c r="J17" s="68" t="s">
        <v>157</v>
      </c>
      <c r="K17" s="68" t="s">
        <v>158</v>
      </c>
      <c r="L17" s="44"/>
      <c r="M17" s="45"/>
      <c r="N17" s="45"/>
      <c r="O17" s="45"/>
      <c r="P17" s="46"/>
      <c r="Q17" s="47"/>
      <c r="R17" s="48"/>
      <c r="S17" s="48"/>
      <c r="T17" s="48"/>
      <c r="U17" s="48"/>
      <c r="V17" s="49"/>
    </row>
    <row r="18" spans="1:22" ht="28.5" customHeight="1" x14ac:dyDescent="0.35">
      <c r="A18" s="36" t="s">
        <v>159</v>
      </c>
      <c r="B18" s="66">
        <v>20739184385</v>
      </c>
      <c r="C18" s="66" t="s">
        <v>80</v>
      </c>
      <c r="D18" s="66" t="s">
        <v>160</v>
      </c>
      <c r="E18" s="66" t="s">
        <v>161</v>
      </c>
      <c r="F18" s="66" t="s">
        <v>83</v>
      </c>
      <c r="G18" s="66" t="str">
        <f>"2010"</f>
        <v>2010</v>
      </c>
      <c r="H18" s="66" t="str">
        <f>"02 9212 1852"</f>
        <v>02 9212 1852</v>
      </c>
      <c r="I18" s="66" t="str">
        <f>""</f>
        <v/>
      </c>
      <c r="J18" s="68" t="s">
        <v>162</v>
      </c>
      <c r="K18" s="68" t="s">
        <v>163</v>
      </c>
      <c r="L18" s="44"/>
      <c r="M18" s="45"/>
      <c r="N18" s="45"/>
      <c r="O18" s="45"/>
      <c r="P18" s="46"/>
      <c r="Q18" s="47"/>
      <c r="R18" s="48"/>
      <c r="S18" s="48"/>
      <c r="T18" s="48"/>
      <c r="U18" s="48"/>
      <c r="V18" s="49"/>
    </row>
    <row r="19" spans="1:22" ht="28.5" customHeight="1" x14ac:dyDescent="0.35">
      <c r="A19" s="36" t="s">
        <v>164</v>
      </c>
      <c r="B19" s="66">
        <v>60169071783</v>
      </c>
      <c r="C19" s="66" t="s">
        <v>80</v>
      </c>
      <c r="D19" s="66" t="s">
        <v>165</v>
      </c>
      <c r="E19" s="66" t="s">
        <v>90</v>
      </c>
      <c r="F19" s="66" t="s">
        <v>83</v>
      </c>
      <c r="G19" s="66" t="str">
        <f>"2300"</f>
        <v>2300</v>
      </c>
      <c r="H19" s="66" t="str">
        <f>"02 8667 5310"</f>
        <v>02 8667 5310</v>
      </c>
      <c r="I19" s="66" t="str">
        <f>"0402742781"</f>
        <v>0402742781</v>
      </c>
      <c r="J19" s="68" t="s">
        <v>166</v>
      </c>
      <c r="K19" s="68" t="s">
        <v>167</v>
      </c>
      <c r="L19" s="44"/>
      <c r="M19" s="45"/>
      <c r="N19" s="45"/>
      <c r="O19" s="45"/>
      <c r="P19" s="46"/>
      <c r="Q19" s="47"/>
      <c r="R19" s="48"/>
      <c r="S19" s="48"/>
      <c r="T19" s="48"/>
      <c r="U19" s="48"/>
      <c r="V19" s="49"/>
    </row>
    <row r="20" spans="1:22" ht="28.5" customHeight="1" x14ac:dyDescent="0.35">
      <c r="A20" s="36" t="s">
        <v>168</v>
      </c>
      <c r="B20" s="66">
        <v>33153424438</v>
      </c>
      <c r="C20" s="66" t="s">
        <v>80</v>
      </c>
      <c r="D20" s="66" t="s">
        <v>169</v>
      </c>
      <c r="E20" s="66" t="s">
        <v>132</v>
      </c>
      <c r="F20" s="66" t="s">
        <v>83</v>
      </c>
      <c r="G20" s="66" t="str">
        <f>"2037"</f>
        <v>2037</v>
      </c>
      <c r="H20" s="66"/>
      <c r="I20" s="66" t="str">
        <f>"0404784995"</f>
        <v>0404784995</v>
      </c>
      <c r="J20" s="68" t="s">
        <v>170</v>
      </c>
      <c r="K20" s="68" t="s">
        <v>171</v>
      </c>
      <c r="L20" s="44"/>
      <c r="M20" s="45"/>
      <c r="N20" s="45"/>
      <c r="O20" s="45"/>
      <c r="P20" s="46"/>
      <c r="Q20" s="47"/>
      <c r="R20" s="48"/>
      <c r="S20" s="48"/>
      <c r="T20" s="48"/>
      <c r="U20" s="48"/>
      <c r="V20" s="49"/>
    </row>
    <row r="21" spans="1:22" ht="28.5" customHeight="1" x14ac:dyDescent="0.35">
      <c r="A21" s="36" t="s">
        <v>172</v>
      </c>
      <c r="B21" s="66">
        <v>74635799101</v>
      </c>
      <c r="C21" s="66" t="s">
        <v>80</v>
      </c>
      <c r="D21" s="66" t="s">
        <v>173</v>
      </c>
      <c r="E21" s="66" t="s">
        <v>90</v>
      </c>
      <c r="F21" s="66" t="s">
        <v>83</v>
      </c>
      <c r="G21" s="66" t="str">
        <f>"2037"</f>
        <v>2037</v>
      </c>
      <c r="H21" s="66"/>
      <c r="I21" s="66" t="str">
        <f>"0421306611"</f>
        <v>0421306611</v>
      </c>
      <c r="J21" s="68" t="s">
        <v>174</v>
      </c>
      <c r="K21" s="68" t="s">
        <v>175</v>
      </c>
      <c r="L21" s="44"/>
      <c r="M21" s="45"/>
      <c r="N21" s="45"/>
      <c r="O21" s="45"/>
      <c r="P21" s="46"/>
      <c r="Q21" s="47"/>
      <c r="R21" s="48" t="s">
        <v>87</v>
      </c>
      <c r="S21" s="48"/>
      <c r="T21" s="48"/>
      <c r="U21" s="48"/>
      <c r="V21" s="49" t="s">
        <v>87</v>
      </c>
    </row>
    <row r="22" spans="1:22" ht="28.5" customHeight="1" x14ac:dyDescent="0.35">
      <c r="A22" s="36" t="s">
        <v>176</v>
      </c>
      <c r="B22" s="66">
        <v>12148814224</v>
      </c>
      <c r="C22" s="66" t="s">
        <v>80</v>
      </c>
      <c r="D22" s="66" t="s">
        <v>177</v>
      </c>
      <c r="E22" s="66" t="s">
        <v>178</v>
      </c>
      <c r="F22" s="66" t="s">
        <v>83</v>
      </c>
      <c r="G22" s="66" t="str">
        <f>"2010"</f>
        <v>2010</v>
      </c>
      <c r="H22" s="66" t="str">
        <f>"02 8060 9644"</f>
        <v>02 8060 9644</v>
      </c>
      <c r="I22" s="66" t="str">
        <f>"0424386715"</f>
        <v>0424386715</v>
      </c>
      <c r="J22" s="68" t="s">
        <v>179</v>
      </c>
      <c r="K22" s="68" t="s">
        <v>180</v>
      </c>
      <c r="L22" s="44"/>
      <c r="M22" s="45"/>
      <c r="N22" s="45"/>
      <c r="O22" s="45"/>
      <c r="P22" s="46"/>
      <c r="Q22" s="47"/>
      <c r="R22" s="48"/>
      <c r="S22" s="48"/>
      <c r="T22" s="48"/>
      <c r="U22" s="48"/>
      <c r="V22" s="49"/>
    </row>
    <row r="23" spans="1:22" ht="28.5" customHeight="1" x14ac:dyDescent="0.35">
      <c r="A23" s="36" t="s">
        <v>181</v>
      </c>
      <c r="B23" s="66">
        <v>98151637044</v>
      </c>
      <c r="C23" s="66" t="s">
        <v>80</v>
      </c>
      <c r="D23" s="66" t="s">
        <v>182</v>
      </c>
      <c r="E23" s="66" t="s">
        <v>183</v>
      </c>
      <c r="F23" s="66" t="s">
        <v>83</v>
      </c>
      <c r="G23" s="66" t="str">
        <f>"2000"</f>
        <v>2000</v>
      </c>
      <c r="H23" s="66" t="str">
        <f>"02 8091 3804"</f>
        <v>02 8091 3804</v>
      </c>
      <c r="I23" s="66" t="str">
        <f>"0420499179"</f>
        <v>0420499179</v>
      </c>
      <c r="J23" s="68" t="s">
        <v>184</v>
      </c>
      <c r="K23" s="68" t="s">
        <v>185</v>
      </c>
      <c r="L23" s="44"/>
      <c r="M23" s="45"/>
      <c r="N23" s="45"/>
      <c r="O23" s="45"/>
      <c r="P23" s="46"/>
      <c r="Q23" s="47"/>
      <c r="R23" s="48"/>
      <c r="S23" s="48"/>
      <c r="T23" s="48"/>
      <c r="U23" s="48"/>
      <c r="V23" s="49"/>
    </row>
    <row r="24" spans="1:22" ht="28.5" customHeight="1" x14ac:dyDescent="0.35">
      <c r="A24" s="36" t="s">
        <v>186</v>
      </c>
      <c r="B24" s="66">
        <v>83603348947</v>
      </c>
      <c r="C24" s="66" t="s">
        <v>80</v>
      </c>
      <c r="D24" s="66" t="s">
        <v>187</v>
      </c>
      <c r="E24" s="66" t="s">
        <v>152</v>
      </c>
      <c r="F24" s="66" t="s">
        <v>83</v>
      </c>
      <c r="G24" s="66">
        <v>2065</v>
      </c>
      <c r="H24" s="67"/>
      <c r="I24" s="67" t="s">
        <v>188</v>
      </c>
      <c r="J24" s="68" t="s">
        <v>189</v>
      </c>
      <c r="K24" s="68" t="s">
        <v>190</v>
      </c>
      <c r="L24" s="44"/>
      <c r="M24" s="45"/>
      <c r="N24" s="45"/>
      <c r="O24" s="45"/>
      <c r="P24" s="46"/>
      <c r="Q24" s="47"/>
      <c r="R24" s="48"/>
      <c r="S24" s="48"/>
      <c r="T24" s="48"/>
      <c r="U24" s="48"/>
      <c r="V24" s="49"/>
    </row>
    <row r="25" spans="1:22" ht="28.5" customHeight="1" x14ac:dyDescent="0.35">
      <c r="A25" s="36" t="s">
        <v>191</v>
      </c>
      <c r="B25" s="66">
        <v>52133958620</v>
      </c>
      <c r="C25" s="66" t="s">
        <v>80</v>
      </c>
      <c r="D25" s="66" t="s">
        <v>192</v>
      </c>
      <c r="E25" s="66" t="s">
        <v>132</v>
      </c>
      <c r="F25" s="66" t="s">
        <v>83</v>
      </c>
      <c r="G25" s="66" t="str">
        <f>"2016"</f>
        <v>2016</v>
      </c>
      <c r="H25" s="66"/>
      <c r="I25" s="66" t="str">
        <f>"0420210478"</f>
        <v>0420210478</v>
      </c>
      <c r="J25" s="68" t="s">
        <v>193</v>
      </c>
      <c r="K25" s="68" t="s">
        <v>194</v>
      </c>
      <c r="L25" s="44"/>
      <c r="M25" s="45"/>
      <c r="N25" s="45"/>
      <c r="O25" s="45"/>
      <c r="P25" s="46"/>
      <c r="Q25" s="47"/>
      <c r="R25" s="48"/>
      <c r="S25" s="48"/>
      <c r="T25" s="48"/>
      <c r="U25" s="48"/>
      <c r="V25" s="49"/>
    </row>
    <row r="26" spans="1:22" ht="28.5" customHeight="1" x14ac:dyDescent="0.35">
      <c r="A26" s="36" t="s">
        <v>195</v>
      </c>
      <c r="B26" s="66">
        <v>81123499641</v>
      </c>
      <c r="C26" s="66" t="s">
        <v>80</v>
      </c>
      <c r="D26" s="66" t="s">
        <v>196</v>
      </c>
      <c r="E26" s="66" t="s">
        <v>152</v>
      </c>
      <c r="F26" s="66" t="s">
        <v>83</v>
      </c>
      <c r="G26" s="66" t="str">
        <f>"2093"</f>
        <v>2093</v>
      </c>
      <c r="H26" s="66" t="str">
        <f>"02 9977 6255"</f>
        <v>02 9977 6255</v>
      </c>
      <c r="I26" s="66" t="str">
        <f>"0414525646"</f>
        <v>0414525646</v>
      </c>
      <c r="J26" s="68" t="s">
        <v>197</v>
      </c>
      <c r="K26" s="68" t="s">
        <v>198</v>
      </c>
      <c r="L26" s="44"/>
      <c r="M26" s="45"/>
      <c r="N26" s="45"/>
      <c r="O26" s="45"/>
      <c r="P26" s="46"/>
      <c r="Q26" s="47"/>
      <c r="R26" s="48"/>
      <c r="S26" s="48"/>
      <c r="T26" s="48"/>
      <c r="U26" s="48"/>
      <c r="V26" s="49"/>
    </row>
    <row r="27" spans="1:22" ht="28.5" customHeight="1" x14ac:dyDescent="0.35">
      <c r="A27" s="36" t="s">
        <v>199</v>
      </c>
      <c r="B27" s="66">
        <v>17157973807</v>
      </c>
      <c r="C27" s="66" t="s">
        <v>80</v>
      </c>
      <c r="D27" s="66" t="s">
        <v>200</v>
      </c>
      <c r="E27" s="66" t="s">
        <v>90</v>
      </c>
      <c r="F27" s="66" t="s">
        <v>83</v>
      </c>
      <c r="G27" s="66" t="str">
        <f>"2010"</f>
        <v>2010</v>
      </c>
      <c r="H27" s="66" t="str">
        <f>"02 9281 7744"</f>
        <v>02 9281 7744</v>
      </c>
      <c r="I27" s="66" t="str">
        <f>""</f>
        <v/>
      </c>
      <c r="J27" s="68" t="s">
        <v>201</v>
      </c>
      <c r="K27" s="68" t="s">
        <v>202</v>
      </c>
      <c r="L27" s="44"/>
      <c r="M27" s="45"/>
      <c r="N27" s="45"/>
      <c r="O27" s="45"/>
      <c r="P27" s="46"/>
      <c r="Q27" s="47"/>
      <c r="R27" s="48"/>
      <c r="S27" s="48"/>
      <c r="T27" s="48"/>
      <c r="U27" s="48"/>
      <c r="V27" s="49"/>
    </row>
    <row r="28" spans="1:22" ht="28.5" customHeight="1" x14ac:dyDescent="0.35">
      <c r="A28" s="36" t="s">
        <v>203</v>
      </c>
      <c r="B28" s="66">
        <v>54624600340</v>
      </c>
      <c r="C28" s="66" t="s">
        <v>80</v>
      </c>
      <c r="D28" s="66" t="s">
        <v>204</v>
      </c>
      <c r="E28" s="66" t="s">
        <v>132</v>
      </c>
      <c r="F28" s="66" t="s">
        <v>83</v>
      </c>
      <c r="G28" s="66">
        <v>2125</v>
      </c>
      <c r="H28" s="66" t="str">
        <f>"02 9209 4309"</f>
        <v>02 9209 4309</v>
      </c>
      <c r="I28" s="66" t="str">
        <f>"0416007089"</f>
        <v>0416007089</v>
      </c>
      <c r="J28" s="68" t="s">
        <v>205</v>
      </c>
      <c r="K28" s="68" t="s">
        <v>206</v>
      </c>
      <c r="L28" s="44"/>
      <c r="M28" s="45"/>
      <c r="N28" s="45"/>
      <c r="O28" s="45"/>
      <c r="P28" s="46"/>
      <c r="Q28" s="47"/>
      <c r="R28" s="48"/>
      <c r="S28" s="48"/>
      <c r="T28" s="48"/>
      <c r="U28" s="48"/>
      <c r="V28" s="49"/>
    </row>
    <row r="29" spans="1:22" ht="28.5" customHeight="1" x14ac:dyDescent="0.35">
      <c r="A29" s="36" t="s">
        <v>207</v>
      </c>
      <c r="B29" s="66">
        <v>95798771519</v>
      </c>
      <c r="C29" s="66" t="s">
        <v>80</v>
      </c>
      <c r="D29" s="66" t="s">
        <v>208</v>
      </c>
      <c r="E29" s="66" t="s">
        <v>90</v>
      </c>
      <c r="F29" s="66" t="s">
        <v>83</v>
      </c>
      <c r="G29" s="66">
        <v>2137</v>
      </c>
      <c r="H29" s="66"/>
      <c r="I29" s="67" t="s">
        <v>209</v>
      </c>
      <c r="J29" s="68" t="s">
        <v>210</v>
      </c>
      <c r="K29" s="68" t="s">
        <v>211</v>
      </c>
      <c r="L29" s="44"/>
      <c r="M29" s="45"/>
      <c r="N29" s="45"/>
      <c r="O29" s="45"/>
      <c r="P29" s="46"/>
      <c r="Q29" s="47"/>
      <c r="R29" s="48"/>
      <c r="S29" s="48"/>
      <c r="T29" s="48"/>
      <c r="U29" s="48"/>
      <c r="V29" s="49"/>
    </row>
    <row r="30" spans="1:22" ht="28.5" customHeight="1" x14ac:dyDescent="0.35">
      <c r="A30" s="36" t="s">
        <v>212</v>
      </c>
      <c r="B30" s="66">
        <v>66061404957</v>
      </c>
      <c r="C30" s="66" t="s">
        <v>80</v>
      </c>
      <c r="D30" s="66" t="s">
        <v>213</v>
      </c>
      <c r="E30" s="66" t="s">
        <v>132</v>
      </c>
      <c r="F30" s="66" t="s">
        <v>83</v>
      </c>
      <c r="G30" s="66" t="str">
        <f>"2000"</f>
        <v>2000</v>
      </c>
      <c r="H30" s="66" t="str">
        <f>"02 9151 7400"</f>
        <v>02 9151 7400</v>
      </c>
      <c r="I30" s="66" t="str">
        <f>""</f>
        <v/>
      </c>
      <c r="J30" s="68" t="s">
        <v>214</v>
      </c>
      <c r="K30" s="68" t="s">
        <v>215</v>
      </c>
      <c r="L30" s="44"/>
      <c r="M30" s="45"/>
      <c r="N30" s="45"/>
      <c r="O30" s="45"/>
      <c r="P30" s="46"/>
      <c r="Q30" s="47"/>
      <c r="R30" s="48"/>
      <c r="S30" s="48"/>
      <c r="T30" s="48"/>
      <c r="U30" s="48"/>
      <c r="V30" s="49"/>
    </row>
    <row r="31" spans="1:22" ht="28.5" customHeight="1" x14ac:dyDescent="0.35">
      <c r="A31" s="36" t="s">
        <v>216</v>
      </c>
      <c r="B31" s="66">
        <v>36241969774</v>
      </c>
      <c r="C31" s="66" t="s">
        <v>80</v>
      </c>
      <c r="D31" s="66" t="s">
        <v>217</v>
      </c>
      <c r="E31" s="66" t="s">
        <v>218</v>
      </c>
      <c r="F31" s="66" t="s">
        <v>83</v>
      </c>
      <c r="G31" s="66">
        <v>2000</v>
      </c>
      <c r="H31" s="66"/>
      <c r="I31" s="67" t="s">
        <v>219</v>
      </c>
      <c r="J31" s="68" t="s">
        <v>220</v>
      </c>
      <c r="K31" s="68" t="s">
        <v>221</v>
      </c>
      <c r="L31" s="44"/>
      <c r="M31" s="45"/>
      <c r="N31" s="45"/>
      <c r="O31" s="45"/>
      <c r="P31" s="46"/>
      <c r="Q31" s="47"/>
      <c r="R31" s="48"/>
      <c r="S31" s="48"/>
      <c r="T31" s="48"/>
      <c r="U31" s="48"/>
      <c r="V31" s="49"/>
    </row>
    <row r="32" spans="1:22" ht="28.5" customHeight="1" x14ac:dyDescent="0.35">
      <c r="A32" s="36" t="s">
        <v>222</v>
      </c>
      <c r="B32" s="66">
        <v>88629387257</v>
      </c>
      <c r="C32" s="66" t="s">
        <v>80</v>
      </c>
      <c r="D32" s="66" t="s">
        <v>223</v>
      </c>
      <c r="E32" s="66" t="s">
        <v>152</v>
      </c>
      <c r="F32" s="66" t="s">
        <v>83</v>
      </c>
      <c r="G32" s="66">
        <v>2017</v>
      </c>
      <c r="H32" s="66" t="s">
        <v>224</v>
      </c>
      <c r="I32" s="67" t="s">
        <v>225</v>
      </c>
      <c r="J32" s="68" t="s">
        <v>226</v>
      </c>
      <c r="K32" s="68" t="s">
        <v>227</v>
      </c>
      <c r="L32" s="44"/>
      <c r="M32" s="45"/>
      <c r="N32" s="45"/>
      <c r="O32" s="45"/>
      <c r="P32" s="46"/>
      <c r="Q32" s="47"/>
      <c r="R32" s="48"/>
      <c r="S32" s="48"/>
      <c r="T32" s="48"/>
      <c r="U32" s="48"/>
      <c r="V32" s="49"/>
    </row>
    <row r="33" spans="1:22" ht="28.5" customHeight="1" x14ac:dyDescent="0.35">
      <c r="A33" s="36" t="s">
        <v>228</v>
      </c>
      <c r="B33" s="66">
        <v>43150813853</v>
      </c>
      <c r="C33" s="66" t="s">
        <v>80</v>
      </c>
      <c r="D33" s="66" t="s">
        <v>229</v>
      </c>
      <c r="E33" s="66" t="s">
        <v>230</v>
      </c>
      <c r="F33" s="66" t="s">
        <v>83</v>
      </c>
      <c r="G33" s="66">
        <v>2009</v>
      </c>
      <c r="H33" s="67" t="s">
        <v>231</v>
      </c>
      <c r="I33" s="67" t="s">
        <v>232</v>
      </c>
      <c r="J33" s="68" t="s">
        <v>233</v>
      </c>
      <c r="K33" s="68" t="s">
        <v>234</v>
      </c>
      <c r="L33" s="44"/>
      <c r="M33" s="45"/>
      <c r="N33" s="45"/>
      <c r="O33" s="45"/>
      <c r="P33" s="46"/>
      <c r="Q33" s="47"/>
      <c r="R33" s="48"/>
      <c r="S33" s="48"/>
      <c r="T33" s="48"/>
      <c r="U33" s="48"/>
      <c r="V33" s="49"/>
    </row>
    <row r="34" spans="1:22" ht="28.5" customHeight="1" x14ac:dyDescent="0.35">
      <c r="A34" s="36" t="s">
        <v>235</v>
      </c>
      <c r="B34" s="66">
        <v>38631801940</v>
      </c>
      <c r="C34" s="66" t="s">
        <v>80</v>
      </c>
      <c r="D34" s="66" t="s">
        <v>236</v>
      </c>
      <c r="E34" s="66" t="s">
        <v>237</v>
      </c>
      <c r="F34" s="66" t="s">
        <v>83</v>
      </c>
      <c r="G34" s="66" t="str">
        <f>"2110"</f>
        <v>2110</v>
      </c>
      <c r="H34" s="66" t="str">
        <f>"02 9816 4068"</f>
        <v>02 9816 4068</v>
      </c>
      <c r="I34" s="66" t="str">
        <f>"0407853367"</f>
        <v>0407853367</v>
      </c>
      <c r="J34" s="68" t="s">
        <v>238</v>
      </c>
      <c r="K34" s="68" t="s">
        <v>239</v>
      </c>
      <c r="L34" s="44"/>
      <c r="M34" s="45"/>
      <c r="N34" s="45"/>
      <c r="O34" s="45"/>
      <c r="P34" s="46"/>
      <c r="Q34" s="47"/>
      <c r="R34" s="48"/>
      <c r="S34" s="48"/>
      <c r="T34" s="48"/>
      <c r="U34" s="48"/>
      <c r="V34" s="49"/>
    </row>
    <row r="35" spans="1:22" ht="28.5" customHeight="1" x14ac:dyDescent="0.35">
      <c r="A35" s="36" t="s">
        <v>240</v>
      </c>
      <c r="B35" s="66">
        <v>89937643265</v>
      </c>
      <c r="C35" s="66" t="s">
        <v>80</v>
      </c>
      <c r="D35" s="66" t="s">
        <v>241</v>
      </c>
      <c r="E35" s="66" t="s">
        <v>242</v>
      </c>
      <c r="F35" s="66" t="s">
        <v>83</v>
      </c>
      <c r="G35" s="66">
        <v>2065</v>
      </c>
      <c r="H35" s="67" t="s">
        <v>243</v>
      </c>
      <c r="I35" s="67"/>
      <c r="J35" s="68" t="s">
        <v>244</v>
      </c>
      <c r="K35" s="68" t="s">
        <v>245</v>
      </c>
      <c r="L35" s="44"/>
      <c r="M35" s="45"/>
      <c r="N35" s="45"/>
      <c r="O35" s="45"/>
      <c r="P35" s="46"/>
      <c r="Q35" s="47"/>
      <c r="R35" s="48"/>
      <c r="S35" s="48"/>
      <c r="T35" s="48"/>
      <c r="U35" s="48"/>
      <c r="V35" s="49"/>
    </row>
    <row r="36" spans="1:22" ht="28.5" customHeight="1" x14ac:dyDescent="0.35">
      <c r="A36" s="36" t="s">
        <v>246</v>
      </c>
      <c r="B36" s="66">
        <v>50636552719</v>
      </c>
      <c r="C36" s="66" t="s">
        <v>80</v>
      </c>
      <c r="D36" s="66" t="s">
        <v>247</v>
      </c>
      <c r="E36" s="66" t="s">
        <v>132</v>
      </c>
      <c r="F36" s="66" t="s">
        <v>83</v>
      </c>
      <c r="G36" s="66" t="str">
        <f>"2112"</f>
        <v>2112</v>
      </c>
      <c r="H36" s="66"/>
      <c r="I36" s="66" t="str">
        <f>"0403128870"</f>
        <v>0403128870</v>
      </c>
      <c r="J36" s="68" t="s">
        <v>248</v>
      </c>
      <c r="K36" s="68" t="s">
        <v>249</v>
      </c>
      <c r="L36" s="44"/>
      <c r="M36" s="45"/>
      <c r="N36" s="45"/>
      <c r="O36" s="45"/>
      <c r="P36" s="46"/>
      <c r="Q36" s="47"/>
      <c r="R36" s="48"/>
      <c r="S36" s="48"/>
      <c r="T36" s="48"/>
      <c r="U36" s="48"/>
      <c r="V36" s="49"/>
    </row>
    <row r="37" spans="1:22" ht="28.5" customHeight="1" x14ac:dyDescent="0.35">
      <c r="A37" s="36" t="s">
        <v>250</v>
      </c>
      <c r="B37" s="66">
        <v>90626443267</v>
      </c>
      <c r="C37" s="66" t="s">
        <v>87</v>
      </c>
      <c r="D37" s="66" t="s">
        <v>251</v>
      </c>
      <c r="E37" s="66" t="s">
        <v>252</v>
      </c>
      <c r="F37" s="66" t="s">
        <v>83</v>
      </c>
      <c r="G37" s="66" t="str">
        <f>"2008"</f>
        <v>2008</v>
      </c>
      <c r="H37" s="66" t="str">
        <f>"02 8937 2133"</f>
        <v>02 8937 2133</v>
      </c>
      <c r="I37" s="66" t="str">
        <f>"0408585222"</f>
        <v>0408585222</v>
      </c>
      <c r="J37" s="68" t="s">
        <v>253</v>
      </c>
      <c r="K37" s="68" t="s">
        <v>254</v>
      </c>
      <c r="L37" s="44" t="s">
        <v>87</v>
      </c>
      <c r="M37" s="45" t="s">
        <v>87</v>
      </c>
      <c r="N37" s="45" t="s">
        <v>87</v>
      </c>
      <c r="O37" s="45" t="s">
        <v>87</v>
      </c>
      <c r="P37" s="46" t="s">
        <v>87</v>
      </c>
      <c r="Q37" s="47"/>
      <c r="R37" s="48"/>
      <c r="S37" s="48"/>
      <c r="T37" s="48"/>
      <c r="U37" s="48"/>
      <c r="V37" s="49"/>
    </row>
    <row r="38" spans="1:22" ht="28.5" customHeight="1" x14ac:dyDescent="0.35">
      <c r="A38" s="36" t="s">
        <v>255</v>
      </c>
      <c r="B38" s="66">
        <v>99646287578</v>
      </c>
      <c r="C38" s="66" t="s">
        <v>80</v>
      </c>
      <c r="D38" s="66" t="s">
        <v>256</v>
      </c>
      <c r="E38" s="66" t="s">
        <v>257</v>
      </c>
      <c r="F38" s="66" t="s">
        <v>83</v>
      </c>
      <c r="G38" s="66">
        <v>2200</v>
      </c>
      <c r="H38" s="66"/>
      <c r="I38" s="67" t="s">
        <v>258</v>
      </c>
      <c r="J38" s="68" t="s">
        <v>259</v>
      </c>
      <c r="K38" s="68" t="s">
        <v>260</v>
      </c>
      <c r="L38" s="44"/>
      <c r="M38" s="45"/>
      <c r="N38" s="45"/>
      <c r="O38" s="45"/>
      <c r="P38" s="46"/>
      <c r="Q38" s="47"/>
      <c r="R38" s="48"/>
      <c r="S38" s="48"/>
      <c r="T38" s="48"/>
      <c r="U38" s="48"/>
      <c r="V38" s="49"/>
    </row>
    <row r="39" spans="1:22" ht="28.5" customHeight="1" x14ac:dyDescent="0.35">
      <c r="A39" s="36" t="s">
        <v>261</v>
      </c>
      <c r="B39" s="66">
        <v>43533837149</v>
      </c>
      <c r="C39" s="66" t="s">
        <v>80</v>
      </c>
      <c r="D39" s="66" t="s">
        <v>262</v>
      </c>
      <c r="E39" s="66" t="s">
        <v>263</v>
      </c>
      <c r="F39" s="66" t="s">
        <v>83</v>
      </c>
      <c r="G39" s="66" t="str">
        <f>"2009"</f>
        <v>2009</v>
      </c>
      <c r="H39" s="69"/>
      <c r="I39" s="67" t="s">
        <v>264</v>
      </c>
      <c r="J39" s="68" t="s">
        <v>265</v>
      </c>
      <c r="K39" s="68" t="s">
        <v>266</v>
      </c>
      <c r="L39" s="44"/>
      <c r="M39" s="45"/>
      <c r="N39" s="45"/>
      <c r="O39" s="45"/>
      <c r="P39" s="46"/>
      <c r="Q39" s="47"/>
      <c r="R39" s="48"/>
      <c r="S39" s="48"/>
      <c r="T39" s="48"/>
      <c r="U39" s="48"/>
      <c r="V39" s="49"/>
    </row>
    <row r="40" spans="1:22" ht="28.5" customHeight="1" x14ac:dyDescent="0.35">
      <c r="A40" s="36" t="s">
        <v>267</v>
      </c>
      <c r="B40" s="66">
        <v>90865992095</v>
      </c>
      <c r="C40" s="66" t="s">
        <v>80</v>
      </c>
      <c r="D40" s="66" t="s">
        <v>268</v>
      </c>
      <c r="E40" s="66" t="s">
        <v>152</v>
      </c>
      <c r="F40" s="66" t="s">
        <v>83</v>
      </c>
      <c r="G40" s="66">
        <v>2127</v>
      </c>
      <c r="H40" s="67"/>
      <c r="I40" s="67" t="s">
        <v>269</v>
      </c>
      <c r="J40" s="68" t="s">
        <v>270</v>
      </c>
      <c r="K40" s="68" t="s">
        <v>271</v>
      </c>
      <c r="L40" s="44"/>
      <c r="M40" s="45"/>
      <c r="N40" s="45"/>
      <c r="O40" s="45"/>
      <c r="P40" s="46"/>
      <c r="Q40" s="47"/>
      <c r="R40" s="48"/>
      <c r="S40" s="48"/>
      <c r="T40" s="48"/>
      <c r="U40" s="48"/>
      <c r="V40" s="49"/>
    </row>
    <row r="41" spans="1:22" ht="28.5" customHeight="1" x14ac:dyDescent="0.35">
      <c r="A41" s="36" t="s">
        <v>272</v>
      </c>
      <c r="B41" s="66">
        <v>82131585049</v>
      </c>
      <c r="C41" s="66" t="s">
        <v>80</v>
      </c>
      <c r="D41" s="66" t="s">
        <v>273</v>
      </c>
      <c r="E41" s="66" t="s">
        <v>90</v>
      </c>
      <c r="F41" s="66" t="s">
        <v>83</v>
      </c>
      <c r="G41" s="66" t="str">
        <f>"2107"</f>
        <v>2107</v>
      </c>
      <c r="H41" s="66"/>
      <c r="I41" s="66" t="str">
        <f>"0411857149"</f>
        <v>0411857149</v>
      </c>
      <c r="J41" s="68" t="s">
        <v>274</v>
      </c>
      <c r="K41" s="68" t="s">
        <v>275</v>
      </c>
      <c r="L41" s="44"/>
      <c r="M41" s="45"/>
      <c r="N41" s="45"/>
      <c r="O41" s="45"/>
      <c r="P41" s="46"/>
      <c r="Q41" s="47"/>
      <c r="R41" s="48"/>
      <c r="S41" s="48"/>
      <c r="T41" s="48"/>
      <c r="U41" s="48"/>
      <c r="V41" s="49"/>
    </row>
    <row r="42" spans="1:22" ht="28.5" customHeight="1" x14ac:dyDescent="0.35">
      <c r="A42" s="36" t="s">
        <v>276</v>
      </c>
      <c r="B42" s="66">
        <v>12151470192</v>
      </c>
      <c r="C42" s="66" t="s">
        <v>80</v>
      </c>
      <c r="D42" s="66" t="s">
        <v>277</v>
      </c>
      <c r="E42" s="66" t="s">
        <v>132</v>
      </c>
      <c r="F42" s="66" t="s">
        <v>83</v>
      </c>
      <c r="G42" s="66" t="str">
        <f>"2021"</f>
        <v>2021</v>
      </c>
      <c r="H42" s="66" t="str">
        <f>"02 8353 2917"</f>
        <v>02 8353 2917</v>
      </c>
      <c r="I42" s="66" t="str">
        <f>"0438804666"</f>
        <v>0438804666</v>
      </c>
      <c r="J42" s="68" t="s">
        <v>278</v>
      </c>
      <c r="K42" s="68" t="s">
        <v>279</v>
      </c>
      <c r="L42" s="44"/>
      <c r="M42" s="45"/>
      <c r="N42" s="45"/>
      <c r="O42" s="45"/>
      <c r="P42" s="46"/>
      <c r="Q42" s="47"/>
      <c r="R42" s="48"/>
      <c r="S42" s="48"/>
      <c r="T42" s="48"/>
      <c r="U42" s="48"/>
      <c r="V42" s="49"/>
    </row>
    <row r="43" spans="1:22" ht="28.5" customHeight="1" x14ac:dyDescent="0.35">
      <c r="A43" s="36" t="s">
        <v>280</v>
      </c>
      <c r="B43" s="66">
        <v>81092925473</v>
      </c>
      <c r="C43" s="66" t="s">
        <v>80</v>
      </c>
      <c r="D43" s="66" t="s">
        <v>281</v>
      </c>
      <c r="E43" s="66" t="s">
        <v>132</v>
      </c>
      <c r="F43" s="66" t="s">
        <v>83</v>
      </c>
      <c r="G43" s="66" t="str">
        <f>"2000"</f>
        <v>2000</v>
      </c>
      <c r="H43" s="66" t="str">
        <f>"02 9954 7900"</f>
        <v>02 9954 7900</v>
      </c>
      <c r="I43" s="66" t="str">
        <f>"0413028766"</f>
        <v>0413028766</v>
      </c>
      <c r="J43" s="68" t="s">
        <v>282</v>
      </c>
      <c r="K43" s="68" t="s">
        <v>283</v>
      </c>
      <c r="L43" s="44"/>
      <c r="M43" s="45"/>
      <c r="N43" s="45"/>
      <c r="O43" s="45"/>
      <c r="P43" s="46"/>
      <c r="Q43" s="47"/>
      <c r="R43" s="48"/>
      <c r="S43" s="48"/>
      <c r="T43" s="48"/>
      <c r="U43" s="48"/>
      <c r="V43" s="49"/>
    </row>
    <row r="44" spans="1:22" ht="28.5" customHeight="1" x14ac:dyDescent="0.35">
      <c r="A44" s="36" t="s">
        <v>284</v>
      </c>
      <c r="B44" s="66">
        <v>81166692913</v>
      </c>
      <c r="C44" s="66" t="s">
        <v>80</v>
      </c>
      <c r="D44" s="66" t="s">
        <v>285</v>
      </c>
      <c r="E44" s="66" t="s">
        <v>132</v>
      </c>
      <c r="F44" s="66" t="s">
        <v>83</v>
      </c>
      <c r="G44" s="66">
        <v>2010</v>
      </c>
      <c r="H44" s="66" t="s">
        <v>286</v>
      </c>
      <c r="I44" s="67" t="s">
        <v>287</v>
      </c>
      <c r="J44" s="68" t="s">
        <v>288</v>
      </c>
      <c r="K44" s="68" t="s">
        <v>289</v>
      </c>
      <c r="L44" s="44"/>
      <c r="M44" s="45"/>
      <c r="N44" s="45"/>
      <c r="O44" s="45"/>
      <c r="P44" s="46"/>
      <c r="Q44" s="47"/>
      <c r="R44" s="48"/>
      <c r="S44" s="48"/>
      <c r="T44" s="48"/>
      <c r="U44" s="48"/>
      <c r="V44" s="49"/>
    </row>
    <row r="45" spans="1:22" ht="28.5" customHeight="1" x14ac:dyDescent="0.35">
      <c r="A45" s="72" t="s">
        <v>290</v>
      </c>
      <c r="B45" s="69">
        <v>76614370900</v>
      </c>
      <c r="C45" s="69" t="s">
        <v>80</v>
      </c>
      <c r="D45" s="69" t="s">
        <v>291</v>
      </c>
      <c r="E45" s="69" t="s">
        <v>292</v>
      </c>
      <c r="F45" s="69" t="s">
        <v>83</v>
      </c>
      <c r="G45" s="69">
        <v>2010</v>
      </c>
      <c r="H45" s="71" t="s">
        <v>293</v>
      </c>
      <c r="I45" s="71" t="s">
        <v>294</v>
      </c>
      <c r="J45" s="70" t="s">
        <v>295</v>
      </c>
      <c r="K45" s="70" t="s">
        <v>296</v>
      </c>
      <c r="L45" s="44"/>
      <c r="M45" s="45"/>
      <c r="N45" s="45"/>
      <c r="O45" s="45"/>
      <c r="P45" s="46"/>
      <c r="Q45" s="47"/>
      <c r="R45" s="48"/>
      <c r="S45" s="48"/>
      <c r="T45" s="48"/>
      <c r="U45" s="48"/>
      <c r="V45" s="49"/>
    </row>
    <row r="46" spans="1:22" ht="28.5" customHeight="1" x14ac:dyDescent="0.35">
      <c r="A46" s="36" t="s">
        <v>297</v>
      </c>
      <c r="B46" s="66">
        <v>64162204588</v>
      </c>
      <c r="C46" s="66" t="s">
        <v>80</v>
      </c>
      <c r="D46" s="66" t="s">
        <v>298</v>
      </c>
      <c r="E46" s="66" t="s">
        <v>299</v>
      </c>
      <c r="F46" s="66" t="s">
        <v>83</v>
      </c>
      <c r="G46" s="66">
        <v>2010</v>
      </c>
      <c r="H46" s="66" t="s">
        <v>300</v>
      </c>
      <c r="I46" s="67" t="s">
        <v>301</v>
      </c>
      <c r="J46" s="68" t="s">
        <v>302</v>
      </c>
      <c r="K46" s="68" t="s">
        <v>303</v>
      </c>
      <c r="L46" s="44"/>
      <c r="M46" s="45"/>
      <c r="N46" s="45"/>
      <c r="O46" s="45"/>
      <c r="P46" s="46"/>
      <c r="Q46" s="47"/>
      <c r="R46" s="48"/>
      <c r="S46" s="48"/>
      <c r="T46" s="48"/>
      <c r="U46" s="48"/>
      <c r="V46" s="49"/>
    </row>
    <row r="47" spans="1:22" ht="28.5" customHeight="1" x14ac:dyDescent="0.35">
      <c r="A47" s="36" t="s">
        <v>304</v>
      </c>
      <c r="B47" s="66">
        <v>84107737486</v>
      </c>
      <c r="C47" s="66" t="s">
        <v>80</v>
      </c>
      <c r="D47" s="66" t="s">
        <v>305</v>
      </c>
      <c r="E47" s="66" t="s">
        <v>306</v>
      </c>
      <c r="F47" s="66" t="s">
        <v>83</v>
      </c>
      <c r="G47" s="66" t="str">
        <f>"2040"</f>
        <v>2040</v>
      </c>
      <c r="H47" s="66" t="str">
        <f>"02 9267 1771"</f>
        <v>02 9267 1771</v>
      </c>
      <c r="I47" s="66" t="str">
        <f>"0404020155"</f>
        <v>0404020155</v>
      </c>
      <c r="J47" s="68" t="s">
        <v>307</v>
      </c>
      <c r="K47" s="68" t="s">
        <v>308</v>
      </c>
      <c r="L47" s="44"/>
      <c r="M47" s="45"/>
      <c r="N47" s="45"/>
      <c r="O47" s="45"/>
      <c r="P47" s="46"/>
      <c r="Q47" s="47"/>
      <c r="R47" s="48"/>
      <c r="S47" s="48"/>
      <c r="T47" s="48"/>
      <c r="U47" s="48"/>
      <c r="V47" s="49"/>
    </row>
    <row r="48" spans="1:22" ht="28.5" customHeight="1" x14ac:dyDescent="0.35">
      <c r="A48" s="36" t="s">
        <v>309</v>
      </c>
      <c r="B48" s="66">
        <v>97610658887</v>
      </c>
      <c r="C48" s="66" t="s">
        <v>80</v>
      </c>
      <c r="D48" s="66" t="s">
        <v>310</v>
      </c>
      <c r="E48" s="66" t="s">
        <v>311</v>
      </c>
      <c r="F48" s="66" t="s">
        <v>107</v>
      </c>
      <c r="G48" s="66">
        <v>2603</v>
      </c>
      <c r="H48" s="67" t="s">
        <v>312</v>
      </c>
      <c r="I48" s="67"/>
      <c r="J48" s="68" t="s">
        <v>313</v>
      </c>
      <c r="K48" s="68" t="s">
        <v>314</v>
      </c>
      <c r="L48" s="44"/>
      <c r="M48" s="45"/>
      <c r="N48" s="45"/>
      <c r="O48" s="45"/>
      <c r="P48" s="46"/>
      <c r="Q48" s="47"/>
      <c r="R48" s="48"/>
      <c r="S48" s="48"/>
      <c r="T48" s="48"/>
      <c r="U48" s="48"/>
      <c r="V48" s="49"/>
    </row>
    <row r="49" spans="1:22" ht="28.5" customHeight="1" x14ac:dyDescent="0.35">
      <c r="A49" s="36" t="s">
        <v>315</v>
      </c>
      <c r="B49" s="66">
        <v>43611829862</v>
      </c>
      <c r="C49" s="66" t="s">
        <v>80</v>
      </c>
      <c r="D49" s="66" t="s">
        <v>316</v>
      </c>
      <c r="E49" s="66" t="s">
        <v>90</v>
      </c>
      <c r="F49" s="66" t="s">
        <v>83</v>
      </c>
      <c r="G49" s="66" t="str">
        <f>"2229"</f>
        <v>2229</v>
      </c>
      <c r="H49" s="66"/>
      <c r="I49" s="66" t="str">
        <f>"0434895228"</f>
        <v>0434895228</v>
      </c>
      <c r="J49" s="68" t="s">
        <v>317</v>
      </c>
      <c r="K49" s="68" t="s">
        <v>318</v>
      </c>
      <c r="L49" s="44"/>
      <c r="M49" s="45"/>
      <c r="N49" s="45"/>
      <c r="O49" s="45"/>
      <c r="P49" s="46"/>
      <c r="Q49" s="47"/>
      <c r="R49" s="48"/>
      <c r="S49" s="48"/>
      <c r="T49" s="48"/>
      <c r="U49" s="48"/>
      <c r="V49" s="49"/>
    </row>
    <row r="50" spans="1:22" ht="28.5" customHeight="1" x14ac:dyDescent="0.35">
      <c r="A50" s="36" t="s">
        <v>319</v>
      </c>
      <c r="B50" s="66">
        <v>65628084604</v>
      </c>
      <c r="C50" s="66" t="s">
        <v>80</v>
      </c>
      <c r="D50" s="66" t="s">
        <v>320</v>
      </c>
      <c r="E50" s="66" t="s">
        <v>90</v>
      </c>
      <c r="F50" s="66" t="s">
        <v>83</v>
      </c>
      <c r="G50" s="66">
        <v>2008</v>
      </c>
      <c r="H50" s="66"/>
      <c r="I50" s="67" t="s">
        <v>321</v>
      </c>
      <c r="J50" s="68" t="s">
        <v>322</v>
      </c>
      <c r="K50" s="68" t="s">
        <v>323</v>
      </c>
      <c r="L50" s="44"/>
      <c r="M50" s="45"/>
      <c r="N50" s="45"/>
      <c r="O50" s="45"/>
      <c r="P50" s="46"/>
      <c r="Q50" s="47"/>
      <c r="R50" s="48"/>
      <c r="S50" s="48"/>
      <c r="T50" s="48"/>
      <c r="U50" s="48"/>
      <c r="V50" s="49"/>
    </row>
    <row r="51" spans="1:22" ht="28.5" customHeight="1" x14ac:dyDescent="0.35">
      <c r="A51" s="36" t="s">
        <v>324</v>
      </c>
      <c r="B51" s="66">
        <v>92002378743</v>
      </c>
      <c r="C51" s="66" t="s">
        <v>80</v>
      </c>
      <c r="D51" s="66" t="s">
        <v>325</v>
      </c>
      <c r="E51" s="66" t="s">
        <v>132</v>
      </c>
      <c r="F51" s="66" t="s">
        <v>83</v>
      </c>
      <c r="G51" s="66" t="str">
        <f>"2065"</f>
        <v>2065</v>
      </c>
      <c r="H51" s="66" t="str">
        <f>"02 9437 6071"</f>
        <v>02 9437 6071</v>
      </c>
      <c r="I51" s="66" t="str">
        <f>"0414858727"</f>
        <v>0414858727</v>
      </c>
      <c r="J51" s="68" t="s">
        <v>326</v>
      </c>
      <c r="K51" s="68" t="s">
        <v>327</v>
      </c>
      <c r="L51" s="44"/>
      <c r="M51" s="45"/>
      <c r="N51" s="45"/>
      <c r="O51" s="45"/>
      <c r="P51" s="46"/>
      <c r="Q51" s="47"/>
      <c r="R51" s="48"/>
      <c r="S51" s="48"/>
      <c r="T51" s="48"/>
      <c r="U51" s="48"/>
      <c r="V51" s="49"/>
    </row>
    <row r="52" spans="1:22" ht="28.5" customHeight="1" x14ac:dyDescent="0.35">
      <c r="A52" s="36" t="s">
        <v>328</v>
      </c>
      <c r="B52" s="66">
        <v>55006708416</v>
      </c>
      <c r="C52" s="66" t="s">
        <v>80</v>
      </c>
      <c r="D52" s="66" t="s">
        <v>329</v>
      </c>
      <c r="E52" s="66" t="s">
        <v>330</v>
      </c>
      <c r="F52" s="66" t="s">
        <v>83</v>
      </c>
      <c r="G52" s="66" t="str">
        <f>"2043"</f>
        <v>2043</v>
      </c>
      <c r="H52" s="66"/>
      <c r="I52" s="66" t="str">
        <f>"0416101164"</f>
        <v>0416101164</v>
      </c>
      <c r="J52" s="68" t="s">
        <v>331</v>
      </c>
      <c r="K52" s="68" t="s">
        <v>332</v>
      </c>
      <c r="L52" s="44"/>
      <c r="M52" s="45"/>
      <c r="N52" s="45"/>
      <c r="O52" s="45"/>
      <c r="P52" s="46"/>
      <c r="Q52" s="47"/>
      <c r="R52" s="48"/>
      <c r="S52" s="48"/>
      <c r="T52" s="48"/>
      <c r="U52" s="48"/>
      <c r="V52" s="49"/>
    </row>
    <row r="53" spans="1:22" ht="28.5" customHeight="1" x14ac:dyDescent="0.35">
      <c r="A53" s="72" t="s">
        <v>333</v>
      </c>
      <c r="B53" s="69">
        <v>36163556321</v>
      </c>
      <c r="C53" s="69" t="s">
        <v>80</v>
      </c>
      <c r="D53" s="69" t="s">
        <v>334</v>
      </c>
      <c r="E53" s="69" t="s">
        <v>335</v>
      </c>
      <c r="F53" s="69" t="s">
        <v>83</v>
      </c>
      <c r="G53" s="69">
        <v>2068</v>
      </c>
      <c r="H53" s="69" t="s">
        <v>336</v>
      </c>
      <c r="I53" s="71" t="s">
        <v>337</v>
      </c>
      <c r="J53" s="70" t="s">
        <v>338</v>
      </c>
      <c r="K53" s="70" t="s">
        <v>339</v>
      </c>
      <c r="L53" s="44"/>
      <c r="M53" s="45"/>
      <c r="N53" s="45"/>
      <c r="O53" s="45"/>
      <c r="P53" s="46"/>
      <c r="Q53" s="47"/>
      <c r="R53" s="48"/>
      <c r="S53" s="48"/>
      <c r="T53" s="48"/>
      <c r="U53" s="48"/>
      <c r="V53" s="49"/>
    </row>
    <row r="54" spans="1:22" ht="28.5" customHeight="1" x14ac:dyDescent="0.35">
      <c r="A54" s="36" t="s">
        <v>340</v>
      </c>
      <c r="B54" s="66">
        <v>54600226122</v>
      </c>
      <c r="C54" s="66" t="s">
        <v>80</v>
      </c>
      <c r="D54" s="66" t="s">
        <v>341</v>
      </c>
      <c r="E54" s="66" t="s">
        <v>342</v>
      </c>
      <c r="F54" s="66" t="s">
        <v>83</v>
      </c>
      <c r="G54" s="66" t="str">
        <f>"2016"</f>
        <v>2016</v>
      </c>
      <c r="H54" s="66" t="str">
        <f>"02 9953 7870"</f>
        <v>02 9953 7870</v>
      </c>
      <c r="I54" s="66" t="str">
        <f>"0410445369"</f>
        <v>0410445369</v>
      </c>
      <c r="J54" s="68" t="s">
        <v>343</v>
      </c>
      <c r="K54" s="68" t="s">
        <v>344</v>
      </c>
      <c r="L54" s="44"/>
      <c r="M54" s="45"/>
      <c r="N54" s="45"/>
      <c r="O54" s="45"/>
      <c r="P54" s="46"/>
      <c r="Q54" s="47"/>
      <c r="R54" s="48"/>
      <c r="S54" s="48"/>
      <c r="T54" s="48"/>
      <c r="U54" s="48"/>
      <c r="V54" s="49"/>
    </row>
    <row r="55" spans="1:22" ht="28.5" customHeight="1" x14ac:dyDescent="0.35">
      <c r="A55" s="72" t="s">
        <v>345</v>
      </c>
      <c r="B55" s="69">
        <v>11123609049</v>
      </c>
      <c r="C55" s="69" t="s">
        <v>80</v>
      </c>
      <c r="D55" s="69" t="s">
        <v>346</v>
      </c>
      <c r="E55" s="69" t="s">
        <v>132</v>
      </c>
      <c r="F55" s="69" t="s">
        <v>83</v>
      </c>
      <c r="G55" s="69">
        <v>20403</v>
      </c>
      <c r="H55" s="69" t="s">
        <v>347</v>
      </c>
      <c r="I55" s="71" t="s">
        <v>348</v>
      </c>
      <c r="J55" s="70" t="s">
        <v>349</v>
      </c>
      <c r="K55" s="70" t="s">
        <v>350</v>
      </c>
      <c r="L55" s="44"/>
      <c r="M55" s="45"/>
      <c r="N55" s="45"/>
      <c r="O55" s="45"/>
      <c r="P55" s="46"/>
      <c r="Q55" s="47"/>
      <c r="R55" s="48"/>
      <c r="S55" s="48"/>
      <c r="T55" s="48"/>
      <c r="U55" s="48"/>
      <c r="V55" s="49"/>
    </row>
    <row r="56" spans="1:22" ht="28.5" customHeight="1" x14ac:dyDescent="0.35">
      <c r="A56" s="36" t="s">
        <v>351</v>
      </c>
      <c r="B56" s="66">
        <v>67636946024</v>
      </c>
      <c r="C56" s="66" t="s">
        <v>80</v>
      </c>
      <c r="D56" s="66" t="s">
        <v>352</v>
      </c>
      <c r="E56" s="66" t="s">
        <v>353</v>
      </c>
      <c r="F56" s="66" t="s">
        <v>83</v>
      </c>
      <c r="G56" s="66">
        <v>2010</v>
      </c>
      <c r="H56" s="66" t="s">
        <v>354</v>
      </c>
      <c r="I56" s="67" t="s">
        <v>355</v>
      </c>
      <c r="J56" s="68" t="s">
        <v>356</v>
      </c>
      <c r="K56" s="68" t="s">
        <v>357</v>
      </c>
      <c r="L56" s="44"/>
      <c r="M56" s="45"/>
      <c r="N56" s="45"/>
      <c r="O56" s="45"/>
      <c r="P56" s="46"/>
      <c r="Q56" s="47"/>
      <c r="R56" s="48"/>
      <c r="S56" s="48"/>
      <c r="T56" s="48"/>
      <c r="U56" s="48"/>
      <c r="V56" s="49"/>
    </row>
    <row r="57" spans="1:22" ht="28.5" customHeight="1" x14ac:dyDescent="0.35">
      <c r="A57" s="36" t="s">
        <v>358</v>
      </c>
      <c r="B57" s="66">
        <v>76488362893</v>
      </c>
      <c r="C57" s="66" t="s">
        <v>80</v>
      </c>
      <c r="D57" s="66" t="s">
        <v>359</v>
      </c>
      <c r="E57" s="66" t="s">
        <v>360</v>
      </c>
      <c r="F57" s="66" t="s">
        <v>83</v>
      </c>
      <c r="G57" s="66" t="str">
        <f>"2175"</f>
        <v>2175</v>
      </c>
      <c r="H57" s="66" t="str">
        <f>"02 8731 3895"</f>
        <v>02 8731 3895</v>
      </c>
      <c r="I57" s="66" t="str">
        <f>"0438122749"</f>
        <v>0438122749</v>
      </c>
      <c r="J57" s="68" t="s">
        <v>361</v>
      </c>
      <c r="K57" s="68" t="s">
        <v>362</v>
      </c>
      <c r="L57" s="44"/>
      <c r="M57" s="45"/>
      <c r="N57" s="45"/>
      <c r="O57" s="45"/>
      <c r="P57" s="46"/>
      <c r="Q57" s="47"/>
      <c r="R57" s="48"/>
      <c r="S57" s="48"/>
      <c r="T57" s="48"/>
      <c r="U57" s="48"/>
      <c r="V57" s="49"/>
    </row>
    <row r="58" spans="1:22" ht="28.5" customHeight="1" x14ac:dyDescent="0.35">
      <c r="A58" s="36" t="s">
        <v>363</v>
      </c>
      <c r="B58" s="66">
        <v>61000357648</v>
      </c>
      <c r="C58" s="66" t="s">
        <v>80</v>
      </c>
      <c r="D58" s="66" t="s">
        <v>364</v>
      </c>
      <c r="E58" s="66" t="s">
        <v>365</v>
      </c>
      <c r="F58" s="66" t="s">
        <v>83</v>
      </c>
      <c r="G58" s="66" t="str">
        <f>"2000"</f>
        <v>2000</v>
      </c>
      <c r="H58" s="66" t="str">
        <f>"02 9925 5333"</f>
        <v>02 9925 5333</v>
      </c>
      <c r="I58" s="67" t="s">
        <v>366</v>
      </c>
      <c r="J58" s="68" t="s">
        <v>367</v>
      </c>
      <c r="K58" s="68" t="s">
        <v>368</v>
      </c>
      <c r="L58" s="44"/>
      <c r="M58" s="45"/>
      <c r="N58" s="45"/>
      <c r="O58" s="45"/>
      <c r="P58" s="46"/>
      <c r="Q58" s="47"/>
      <c r="R58" s="48"/>
      <c r="S58" s="48"/>
      <c r="T58" s="48"/>
      <c r="U58" s="48"/>
      <c r="V58" s="49"/>
    </row>
    <row r="59" spans="1:22" ht="28.5" customHeight="1" x14ac:dyDescent="0.35">
      <c r="A59" s="36" t="s">
        <v>369</v>
      </c>
      <c r="B59" s="66">
        <v>72126985484</v>
      </c>
      <c r="C59" s="66" t="s">
        <v>80</v>
      </c>
      <c r="D59" s="66" t="s">
        <v>370</v>
      </c>
      <c r="E59" s="66" t="s">
        <v>152</v>
      </c>
      <c r="F59" s="66" t="s">
        <v>83</v>
      </c>
      <c r="G59" s="66" t="str">
        <f>"2041"</f>
        <v>2041</v>
      </c>
      <c r="H59" s="66" t="str">
        <f>"02 8096 1830"</f>
        <v>02 8096 1830</v>
      </c>
      <c r="I59" s="66" t="str">
        <f>"0414649129"</f>
        <v>0414649129</v>
      </c>
      <c r="J59" s="68" t="s">
        <v>371</v>
      </c>
      <c r="K59" s="68" t="s">
        <v>372</v>
      </c>
      <c r="L59" s="44"/>
      <c r="M59" s="45"/>
      <c r="N59" s="45"/>
      <c r="O59" s="45"/>
      <c r="P59" s="46"/>
      <c r="Q59" s="47"/>
      <c r="R59" s="48"/>
      <c r="S59" s="48"/>
      <c r="T59" s="48"/>
      <c r="U59" s="48"/>
      <c r="V59" s="49"/>
    </row>
    <row r="60" spans="1:22" ht="28.5" customHeight="1" x14ac:dyDescent="0.35">
      <c r="A60" s="36" t="s">
        <v>373</v>
      </c>
      <c r="B60" s="66">
        <v>61629391500</v>
      </c>
      <c r="C60" s="66" t="s">
        <v>80</v>
      </c>
      <c r="D60" s="66" t="s">
        <v>374</v>
      </c>
      <c r="E60" s="66" t="s">
        <v>90</v>
      </c>
      <c r="F60" s="66" t="s">
        <v>83</v>
      </c>
      <c r="G60" s="66" t="str">
        <f>"2017"</f>
        <v>2017</v>
      </c>
      <c r="H60" s="66"/>
      <c r="I60" s="66" t="str">
        <f>"0400884385"</f>
        <v>0400884385</v>
      </c>
      <c r="J60" s="68" t="s">
        <v>375</v>
      </c>
      <c r="K60" s="68" t="s">
        <v>376</v>
      </c>
      <c r="L60" s="44"/>
      <c r="M60" s="45"/>
      <c r="N60" s="45"/>
      <c r="O60" s="45"/>
      <c r="P60" s="46"/>
      <c r="Q60" s="47"/>
      <c r="R60" s="48"/>
      <c r="S60" s="48"/>
      <c r="T60" s="48"/>
      <c r="U60" s="48"/>
      <c r="V60" s="49"/>
    </row>
    <row r="61" spans="1:22" ht="28.5" customHeight="1" x14ac:dyDescent="0.35">
      <c r="A61" s="36" t="s">
        <v>377</v>
      </c>
      <c r="B61" s="66">
        <v>75628792227</v>
      </c>
      <c r="C61" s="66" t="s">
        <v>80</v>
      </c>
      <c r="D61" s="66" t="s">
        <v>378</v>
      </c>
      <c r="E61" s="66" t="s">
        <v>90</v>
      </c>
      <c r="F61" s="66" t="s">
        <v>379</v>
      </c>
      <c r="G61" s="66" t="str">
        <f>"3015"</f>
        <v>3015</v>
      </c>
      <c r="H61" s="66"/>
      <c r="I61" s="66" t="str">
        <f>"0419320269"</f>
        <v>0419320269</v>
      </c>
      <c r="J61" s="68" t="s">
        <v>380</v>
      </c>
      <c r="K61" s="68" t="s">
        <v>381</v>
      </c>
      <c r="L61" s="44"/>
      <c r="M61" s="45"/>
      <c r="N61" s="45"/>
      <c r="O61" s="45"/>
      <c r="P61" s="46"/>
      <c r="Q61" s="47"/>
      <c r="R61" s="48"/>
      <c r="S61" s="48"/>
      <c r="T61" s="48"/>
      <c r="U61" s="48"/>
      <c r="V61" s="49"/>
    </row>
    <row r="62" spans="1:22" ht="28.5" customHeight="1" x14ac:dyDescent="0.35">
      <c r="A62" s="36" t="s">
        <v>382</v>
      </c>
      <c r="B62" s="66">
        <v>97630751651</v>
      </c>
      <c r="C62" s="66" t="s">
        <v>80</v>
      </c>
      <c r="D62" s="66" t="s">
        <v>383</v>
      </c>
      <c r="E62" s="66" t="s">
        <v>132</v>
      </c>
      <c r="F62" s="66" t="s">
        <v>83</v>
      </c>
      <c r="G62" s="66" t="str">
        <f>"2798"</f>
        <v>2798</v>
      </c>
      <c r="H62" s="66" t="str">
        <f>"02 6366 3330"</f>
        <v>02 6366 3330</v>
      </c>
      <c r="I62" s="66" t="str">
        <f>"0448552147"</f>
        <v>0448552147</v>
      </c>
      <c r="J62" s="68" t="s">
        <v>384</v>
      </c>
      <c r="K62" s="68" t="s">
        <v>385</v>
      </c>
      <c r="L62" s="44"/>
      <c r="M62" s="45"/>
      <c r="N62" s="45"/>
      <c r="O62" s="45"/>
      <c r="P62" s="46"/>
      <c r="Q62" s="47"/>
      <c r="R62" s="48"/>
      <c r="S62" s="48"/>
      <c r="T62" s="48"/>
      <c r="U62" s="48"/>
      <c r="V62" s="49"/>
    </row>
    <row r="63" spans="1:22" ht="28.5" customHeight="1" x14ac:dyDescent="0.35">
      <c r="A63" s="36" t="s">
        <v>386</v>
      </c>
      <c r="B63" s="66">
        <v>45654059027</v>
      </c>
      <c r="C63" s="66" t="s">
        <v>80</v>
      </c>
      <c r="D63" s="66" t="s">
        <v>387</v>
      </c>
      <c r="E63" s="66" t="s">
        <v>90</v>
      </c>
      <c r="F63" s="66" t="s">
        <v>83</v>
      </c>
      <c r="G63" s="66">
        <v>2257</v>
      </c>
      <c r="H63" s="67"/>
      <c r="I63" s="67" t="s">
        <v>388</v>
      </c>
      <c r="J63" s="68" t="s">
        <v>389</v>
      </c>
      <c r="K63" s="68" t="s">
        <v>390</v>
      </c>
      <c r="L63" s="44"/>
      <c r="M63" s="45"/>
      <c r="N63" s="45"/>
      <c r="O63" s="45"/>
      <c r="P63" s="46"/>
      <c r="Q63" s="47"/>
      <c r="R63" s="48"/>
      <c r="S63" s="48"/>
      <c r="T63" s="48"/>
      <c r="U63" s="48"/>
      <c r="V63" s="49"/>
    </row>
    <row r="64" spans="1:22" ht="28.5" customHeight="1" x14ac:dyDescent="0.35">
      <c r="A64" s="36" t="s">
        <v>391</v>
      </c>
      <c r="B64" s="66">
        <v>34619970722</v>
      </c>
      <c r="C64" s="66" t="s">
        <v>80</v>
      </c>
      <c r="D64" s="66" t="s">
        <v>392</v>
      </c>
      <c r="E64" s="66" t="s">
        <v>90</v>
      </c>
      <c r="F64" s="66" t="s">
        <v>115</v>
      </c>
      <c r="G64" s="66" t="str">
        <f>"4280"</f>
        <v>4280</v>
      </c>
      <c r="H64" s="66"/>
      <c r="I64" s="66" t="str">
        <f>"0428957877"</f>
        <v>0428957877</v>
      </c>
      <c r="J64" s="68" t="s">
        <v>393</v>
      </c>
      <c r="K64" s="68" t="s">
        <v>394</v>
      </c>
      <c r="L64" s="44"/>
      <c r="M64" s="45"/>
      <c r="N64" s="45"/>
      <c r="O64" s="45"/>
      <c r="P64" s="46"/>
      <c r="Q64" s="47"/>
      <c r="R64" s="48"/>
      <c r="S64" s="48"/>
      <c r="T64" s="48"/>
      <c r="U64" s="48"/>
      <c r="V64" s="49"/>
    </row>
    <row r="65" spans="1:22" ht="28.5" customHeight="1" x14ac:dyDescent="0.35">
      <c r="A65" s="36" t="s">
        <v>395</v>
      </c>
      <c r="B65" s="66">
        <v>30065353951</v>
      </c>
      <c r="C65" s="66" t="s">
        <v>80</v>
      </c>
      <c r="D65" s="66" t="s">
        <v>396</v>
      </c>
      <c r="E65" s="66" t="s">
        <v>132</v>
      </c>
      <c r="F65" s="66" t="s">
        <v>83</v>
      </c>
      <c r="G65" s="66" t="str">
        <f>"2016"</f>
        <v>2016</v>
      </c>
      <c r="H65" s="66" t="str">
        <f>"02 8585 1313"</f>
        <v>02 8585 1313</v>
      </c>
      <c r="I65" s="66" t="str">
        <f>"0411137700"</f>
        <v>0411137700</v>
      </c>
      <c r="J65" s="68" t="s">
        <v>397</v>
      </c>
      <c r="K65" s="68" t="s">
        <v>398</v>
      </c>
      <c r="L65" s="44"/>
      <c r="M65" s="45"/>
      <c r="N65" s="45"/>
      <c r="O65" s="45" t="s">
        <v>87</v>
      </c>
      <c r="P65" s="46"/>
      <c r="Q65" s="47" t="s">
        <v>87</v>
      </c>
      <c r="R65" s="48" t="s">
        <v>87</v>
      </c>
      <c r="S65" s="48" t="s">
        <v>87</v>
      </c>
      <c r="T65" s="48" t="s">
        <v>87</v>
      </c>
      <c r="U65" s="48" t="s">
        <v>87</v>
      </c>
      <c r="V65" s="49" t="s">
        <v>87</v>
      </c>
    </row>
    <row r="66" spans="1:22" ht="28.5" customHeight="1" x14ac:dyDescent="0.35">
      <c r="A66" s="36" t="s">
        <v>399</v>
      </c>
      <c r="B66" s="66">
        <v>69630458721</v>
      </c>
      <c r="C66" s="66" t="s">
        <v>80</v>
      </c>
      <c r="D66" s="66" t="s">
        <v>400</v>
      </c>
      <c r="E66" s="66" t="s">
        <v>401</v>
      </c>
      <c r="F66" s="66" t="s">
        <v>83</v>
      </c>
      <c r="G66" s="66">
        <v>2007</v>
      </c>
      <c r="H66" s="67" t="s">
        <v>402</v>
      </c>
      <c r="I66" s="67"/>
      <c r="J66" s="68" t="s">
        <v>403</v>
      </c>
      <c r="K66" s="68" t="s">
        <v>404</v>
      </c>
      <c r="L66" s="44"/>
      <c r="M66" s="45"/>
      <c r="N66" s="45"/>
      <c r="O66" s="45"/>
      <c r="P66" s="46"/>
      <c r="Q66" s="47"/>
      <c r="R66" s="48"/>
      <c r="S66" s="48"/>
      <c r="T66" s="48"/>
      <c r="U66" s="48"/>
      <c r="V66" s="49"/>
    </row>
    <row r="67" spans="1:22" ht="28.5" customHeight="1" x14ac:dyDescent="0.35">
      <c r="A67" s="36" t="s">
        <v>405</v>
      </c>
      <c r="B67" s="66">
        <v>26161735833</v>
      </c>
      <c r="C67" s="66" t="s">
        <v>80</v>
      </c>
      <c r="D67" s="66" t="s">
        <v>406</v>
      </c>
      <c r="E67" s="66" t="s">
        <v>90</v>
      </c>
      <c r="F67" s="66" t="s">
        <v>83</v>
      </c>
      <c r="G67" s="66" t="str">
        <f>"2010"</f>
        <v>2010</v>
      </c>
      <c r="H67" s="66" t="str">
        <f>"02 9699 2071"</f>
        <v>02 9699 2071</v>
      </c>
      <c r="I67" s="66" t="str">
        <f>"0414748043"</f>
        <v>0414748043</v>
      </c>
      <c r="J67" s="68" t="s">
        <v>407</v>
      </c>
      <c r="K67" s="68" t="s">
        <v>408</v>
      </c>
      <c r="L67" s="44"/>
      <c r="M67" s="45"/>
      <c r="N67" s="45"/>
      <c r="O67" s="45"/>
      <c r="P67" s="46"/>
      <c r="Q67" s="47"/>
      <c r="R67" s="48"/>
      <c r="S67" s="48"/>
      <c r="T67" s="48"/>
      <c r="U67" s="48"/>
      <c r="V67" s="49"/>
    </row>
    <row r="68" spans="1:22" ht="28.5" customHeight="1" x14ac:dyDescent="0.35">
      <c r="A68" s="72" t="s">
        <v>409</v>
      </c>
      <c r="B68" s="69">
        <v>73149221901</v>
      </c>
      <c r="C68" s="69" t="s">
        <v>80</v>
      </c>
      <c r="D68" s="69" t="s">
        <v>410</v>
      </c>
      <c r="E68" s="69" t="s">
        <v>411</v>
      </c>
      <c r="F68" s="69" t="s">
        <v>83</v>
      </c>
      <c r="G68" s="69">
        <v>2009</v>
      </c>
      <c r="H68" s="71" t="s">
        <v>412</v>
      </c>
      <c r="I68" s="71" t="s">
        <v>413</v>
      </c>
      <c r="J68" s="70" t="s">
        <v>414</v>
      </c>
      <c r="K68" s="70" t="s">
        <v>415</v>
      </c>
      <c r="L68" s="44"/>
      <c r="M68" s="45"/>
      <c r="N68" s="45"/>
      <c r="O68" s="45"/>
      <c r="P68" s="46"/>
      <c r="Q68" s="47"/>
      <c r="R68" s="48"/>
      <c r="S68" s="48"/>
      <c r="T68" s="48"/>
      <c r="U68" s="48"/>
      <c r="V68" s="49"/>
    </row>
    <row r="69" spans="1:22" ht="28.5" customHeight="1" x14ac:dyDescent="0.35">
      <c r="A69" s="36" t="s">
        <v>416</v>
      </c>
      <c r="B69" s="66">
        <v>47000429238</v>
      </c>
      <c r="C69" s="66" t="s">
        <v>80</v>
      </c>
      <c r="D69" s="66" t="s">
        <v>417</v>
      </c>
      <c r="E69" s="66" t="s">
        <v>418</v>
      </c>
      <c r="F69" s="66" t="s">
        <v>83</v>
      </c>
      <c r="G69" s="66" t="str">
        <f>"2007"</f>
        <v>2007</v>
      </c>
      <c r="H69" s="66"/>
      <c r="I69" s="67" t="s">
        <v>419</v>
      </c>
      <c r="J69" s="68" t="s">
        <v>420</v>
      </c>
      <c r="K69" s="68" t="s">
        <v>421</v>
      </c>
      <c r="L69" s="44"/>
      <c r="M69" s="45"/>
      <c r="N69" s="45"/>
      <c r="O69" s="45"/>
      <c r="P69" s="46"/>
      <c r="Q69" s="47"/>
      <c r="R69" s="48"/>
      <c r="S69" s="48"/>
      <c r="T69" s="48"/>
      <c r="U69" s="48"/>
      <c r="V69" s="49"/>
    </row>
    <row r="70" spans="1:22" ht="28.5" customHeight="1" x14ac:dyDescent="0.35">
      <c r="A70" s="72" t="s">
        <v>422</v>
      </c>
      <c r="B70" s="69">
        <v>84052908522</v>
      </c>
      <c r="C70" s="69" t="s">
        <v>80</v>
      </c>
      <c r="D70" s="69" t="s">
        <v>101</v>
      </c>
      <c r="E70" s="69" t="s">
        <v>90</v>
      </c>
      <c r="F70" s="69" t="s">
        <v>83</v>
      </c>
      <c r="G70" s="69">
        <v>2044</v>
      </c>
      <c r="H70" s="71" t="s">
        <v>423</v>
      </c>
      <c r="I70" s="71"/>
      <c r="J70" s="70" t="s">
        <v>424</v>
      </c>
      <c r="K70" s="70" t="s">
        <v>425</v>
      </c>
      <c r="L70" s="44"/>
      <c r="M70" s="45"/>
      <c r="N70" s="45"/>
      <c r="O70" s="45"/>
      <c r="P70" s="46"/>
      <c r="Q70" s="47"/>
      <c r="R70" s="48"/>
      <c r="S70" s="48"/>
      <c r="T70" s="48"/>
      <c r="U70" s="48"/>
      <c r="V70" s="49"/>
    </row>
    <row r="71" spans="1:22" ht="28.5" customHeight="1" x14ac:dyDescent="0.35">
      <c r="A71" s="36" t="s">
        <v>426</v>
      </c>
      <c r="B71" s="66">
        <v>38045346490</v>
      </c>
      <c r="C71" s="66" t="s">
        <v>80</v>
      </c>
      <c r="D71" s="66" t="s">
        <v>427</v>
      </c>
      <c r="E71" s="66" t="s">
        <v>90</v>
      </c>
      <c r="F71" s="66" t="s">
        <v>83</v>
      </c>
      <c r="G71" s="66">
        <v>2257</v>
      </c>
      <c r="H71" s="67" t="s">
        <v>428</v>
      </c>
      <c r="I71" s="67"/>
      <c r="J71" s="68" t="s">
        <v>429</v>
      </c>
      <c r="K71" s="68" t="s">
        <v>430</v>
      </c>
      <c r="L71" s="44"/>
      <c r="M71" s="45"/>
      <c r="N71" s="45"/>
      <c r="O71" s="45"/>
      <c r="P71" s="46"/>
      <c r="Q71" s="47"/>
      <c r="R71" s="48"/>
      <c r="S71" s="48"/>
      <c r="T71" s="48"/>
      <c r="U71" s="48"/>
      <c r="V71" s="49"/>
    </row>
    <row r="72" spans="1:22" ht="28.5" customHeight="1" x14ac:dyDescent="0.35">
      <c r="A72" s="36" t="s">
        <v>431</v>
      </c>
      <c r="B72" s="66">
        <v>82122082491</v>
      </c>
      <c r="C72" s="66" t="s">
        <v>80</v>
      </c>
      <c r="D72" s="66" t="s">
        <v>432</v>
      </c>
      <c r="E72" s="66" t="s">
        <v>433</v>
      </c>
      <c r="F72" s="66" t="s">
        <v>83</v>
      </c>
      <c r="G72" s="66" t="str">
        <f>"2010"</f>
        <v>2010</v>
      </c>
      <c r="H72" s="66" t="s">
        <v>434</v>
      </c>
      <c r="I72" s="66" t="str">
        <f>"0416019746"</f>
        <v>0416019746</v>
      </c>
      <c r="J72" s="68" t="s">
        <v>435</v>
      </c>
      <c r="K72" s="68" t="s">
        <v>436</v>
      </c>
      <c r="L72" s="44"/>
      <c r="M72" s="45"/>
      <c r="N72" s="45"/>
      <c r="O72" s="45"/>
      <c r="P72" s="46"/>
      <c r="Q72" s="47"/>
      <c r="R72" s="48"/>
      <c r="S72" s="48"/>
      <c r="T72" s="48"/>
      <c r="U72" s="48"/>
      <c r="V72" s="49"/>
    </row>
    <row r="73" spans="1:22" ht="28.5" customHeight="1" x14ac:dyDescent="0.35">
      <c r="A73" s="72" t="s">
        <v>437</v>
      </c>
      <c r="B73" s="69">
        <v>56083224202</v>
      </c>
      <c r="C73" s="69" t="s">
        <v>80</v>
      </c>
      <c r="D73" s="69" t="s">
        <v>438</v>
      </c>
      <c r="E73" s="69" t="s">
        <v>132</v>
      </c>
      <c r="F73" s="69" t="s">
        <v>83</v>
      </c>
      <c r="G73" s="69">
        <v>2060</v>
      </c>
      <c r="H73" s="69" t="s">
        <v>439</v>
      </c>
      <c r="I73" s="71" t="s">
        <v>440</v>
      </c>
      <c r="J73" s="70" t="s">
        <v>441</v>
      </c>
      <c r="K73" s="70" t="s">
        <v>442</v>
      </c>
      <c r="L73" s="44"/>
      <c r="M73" s="45"/>
      <c r="N73" s="45"/>
      <c r="O73" s="45"/>
      <c r="P73" s="46"/>
      <c r="Q73" s="47"/>
      <c r="R73" s="48"/>
      <c r="S73" s="48"/>
      <c r="T73" s="48"/>
      <c r="U73" s="48"/>
      <c r="V73" s="49"/>
    </row>
    <row r="74" spans="1:22" ht="28.5" customHeight="1" x14ac:dyDescent="0.35">
      <c r="A74" s="36" t="s">
        <v>443</v>
      </c>
      <c r="B74" s="66">
        <v>99118105025</v>
      </c>
      <c r="C74" s="66" t="s">
        <v>80</v>
      </c>
      <c r="D74" s="66" t="s">
        <v>444</v>
      </c>
      <c r="E74" s="66" t="s">
        <v>132</v>
      </c>
      <c r="F74" s="66" t="s">
        <v>83</v>
      </c>
      <c r="G74" s="66">
        <v>2008</v>
      </c>
      <c r="H74" s="66"/>
      <c r="I74" s="66" t="str">
        <f>"0410311842"</f>
        <v>0410311842</v>
      </c>
      <c r="J74" s="68" t="s">
        <v>445</v>
      </c>
      <c r="K74" s="68" t="s">
        <v>446</v>
      </c>
      <c r="L74" s="44"/>
      <c r="M74" s="45"/>
      <c r="N74" s="45"/>
      <c r="O74" s="45"/>
      <c r="P74" s="46"/>
      <c r="Q74" s="47"/>
      <c r="R74" s="48"/>
      <c r="S74" s="48"/>
      <c r="T74" s="48"/>
      <c r="U74" s="48"/>
      <c r="V74" s="49"/>
    </row>
    <row r="75" spans="1:22" ht="28.5" customHeight="1" x14ac:dyDescent="0.35">
      <c r="A75" s="72" t="s">
        <v>447</v>
      </c>
      <c r="B75" s="69">
        <v>59165154165</v>
      </c>
      <c r="C75" s="69" t="s">
        <v>80</v>
      </c>
      <c r="D75" s="69" t="s">
        <v>448</v>
      </c>
      <c r="E75" s="69" t="s">
        <v>449</v>
      </c>
      <c r="F75" s="69" t="s">
        <v>83</v>
      </c>
      <c r="G75" s="69">
        <v>2010</v>
      </c>
      <c r="H75" s="69"/>
      <c r="I75" s="71" t="s">
        <v>450</v>
      </c>
      <c r="J75" s="70" t="s">
        <v>451</v>
      </c>
      <c r="K75" s="70" t="s">
        <v>452</v>
      </c>
      <c r="L75" s="44"/>
      <c r="M75" s="45"/>
      <c r="N75" s="45"/>
      <c r="O75" s="45"/>
      <c r="P75" s="46"/>
      <c r="Q75" s="47"/>
      <c r="R75" s="48"/>
      <c r="S75" s="48"/>
      <c r="T75" s="48"/>
      <c r="U75" s="48"/>
      <c r="V75" s="49"/>
    </row>
    <row r="76" spans="1:22" ht="28.5" customHeight="1" x14ac:dyDescent="0.35">
      <c r="A76" s="36" t="s">
        <v>453</v>
      </c>
      <c r="B76" s="66">
        <v>77125160474</v>
      </c>
      <c r="C76" s="66" t="s">
        <v>80</v>
      </c>
      <c r="D76" s="66" t="s">
        <v>454</v>
      </c>
      <c r="E76" s="66" t="s">
        <v>455</v>
      </c>
      <c r="F76" s="66" t="s">
        <v>83</v>
      </c>
      <c r="G76" s="66">
        <v>2010</v>
      </c>
      <c r="H76" s="66" t="str">
        <f>"02 9052 9096"</f>
        <v>02 9052 9096</v>
      </c>
      <c r="I76" s="66" t="str">
        <f>"0413 863 944"</f>
        <v>0413 863 944</v>
      </c>
      <c r="J76" s="68" t="s">
        <v>456</v>
      </c>
      <c r="K76" s="68" t="s">
        <v>457</v>
      </c>
      <c r="L76" s="44"/>
      <c r="M76" s="45"/>
      <c r="N76" s="45"/>
      <c r="O76" s="45"/>
      <c r="P76" s="46"/>
      <c r="Q76" s="47"/>
      <c r="R76" s="48"/>
      <c r="S76" s="48"/>
      <c r="T76" s="48"/>
      <c r="U76" s="48"/>
      <c r="V76" s="49"/>
    </row>
    <row r="77" spans="1:22" ht="28.5" customHeight="1" x14ac:dyDescent="0.35">
      <c r="A77" s="36" t="s">
        <v>458</v>
      </c>
      <c r="B77" s="66" t="s">
        <v>459</v>
      </c>
      <c r="C77" s="66" t="s">
        <v>80</v>
      </c>
      <c r="D77" s="66" t="s">
        <v>460</v>
      </c>
      <c r="E77" s="66" t="s">
        <v>132</v>
      </c>
      <c r="F77" s="66" t="s">
        <v>83</v>
      </c>
      <c r="G77" s="66">
        <v>2066</v>
      </c>
      <c r="H77" s="67" t="s">
        <v>461</v>
      </c>
      <c r="I77" s="67"/>
      <c r="J77" s="68" t="s">
        <v>462</v>
      </c>
      <c r="K77" s="68" t="s">
        <v>463</v>
      </c>
      <c r="L77" s="44"/>
      <c r="M77" s="45"/>
      <c r="N77" s="45"/>
      <c r="O77" s="45"/>
      <c r="P77" s="46"/>
      <c r="Q77" s="47"/>
      <c r="R77" s="48"/>
      <c r="S77" s="48"/>
      <c r="T77" s="48"/>
      <c r="U77" s="48"/>
      <c r="V77" s="49"/>
    </row>
    <row r="78" spans="1:22" ht="28.5" customHeight="1" x14ac:dyDescent="0.35">
      <c r="A78" s="36" t="s">
        <v>464</v>
      </c>
      <c r="B78" s="66">
        <v>22062493869</v>
      </c>
      <c r="C78" s="66" t="s">
        <v>80</v>
      </c>
      <c r="D78" s="66" t="s">
        <v>465</v>
      </c>
      <c r="E78" s="66" t="s">
        <v>466</v>
      </c>
      <c r="F78" s="66" t="s">
        <v>83</v>
      </c>
      <c r="G78" s="66" t="str">
        <f>"2009"</f>
        <v>2009</v>
      </c>
      <c r="H78" s="66"/>
      <c r="I78" s="66" t="str">
        <f>"0414867622"</f>
        <v>0414867622</v>
      </c>
      <c r="J78" s="68" t="s">
        <v>467</v>
      </c>
      <c r="K78" s="68" t="s">
        <v>468</v>
      </c>
      <c r="L78" s="44"/>
      <c r="M78" s="45"/>
      <c r="N78" s="45"/>
      <c r="O78" s="45"/>
      <c r="P78" s="46"/>
      <c r="Q78" s="47"/>
      <c r="R78" s="48"/>
      <c r="S78" s="48"/>
      <c r="T78" s="48"/>
      <c r="U78" s="48"/>
      <c r="V78" s="49"/>
    </row>
    <row r="79" spans="1:22" ht="28.5" customHeight="1" x14ac:dyDescent="0.35">
      <c r="A79" s="36" t="s">
        <v>469</v>
      </c>
      <c r="B79" s="66">
        <v>40630190475</v>
      </c>
      <c r="C79" s="66" t="s">
        <v>80</v>
      </c>
      <c r="D79" s="66" t="s">
        <v>470</v>
      </c>
      <c r="E79" s="66" t="s">
        <v>471</v>
      </c>
      <c r="F79" s="66" t="s">
        <v>83</v>
      </c>
      <c r="G79" s="66" t="str">
        <f>"2000"</f>
        <v>2000</v>
      </c>
      <c r="H79" s="66" t="str">
        <f>"02 8912 9500"</f>
        <v>02 8912 9500</v>
      </c>
      <c r="I79" s="66" t="str">
        <f>"0414720720"</f>
        <v>0414720720</v>
      </c>
      <c r="J79" s="68" t="s">
        <v>472</v>
      </c>
      <c r="K79" s="68" t="s">
        <v>473</v>
      </c>
      <c r="L79" s="44"/>
      <c r="M79" s="45"/>
      <c r="N79" s="45"/>
      <c r="O79" s="45"/>
      <c r="P79" s="46"/>
      <c r="Q79" s="47"/>
      <c r="R79" s="48"/>
      <c r="S79" s="48"/>
      <c r="T79" s="48"/>
      <c r="U79" s="48"/>
      <c r="V79" s="49"/>
    </row>
    <row r="80" spans="1:22" ht="28.5" customHeight="1" x14ac:dyDescent="0.35">
      <c r="A80" s="36" t="s">
        <v>474</v>
      </c>
      <c r="B80" s="66">
        <v>28741383210</v>
      </c>
      <c r="C80" s="66" t="s">
        <v>80</v>
      </c>
      <c r="D80" s="66" t="s">
        <v>475</v>
      </c>
      <c r="E80" s="66" t="s">
        <v>476</v>
      </c>
      <c r="F80" s="66" t="s">
        <v>83</v>
      </c>
      <c r="G80" s="66" t="str">
        <f>"2009"</f>
        <v>2009</v>
      </c>
      <c r="H80" s="66" t="str">
        <f>"02 8507 0809"</f>
        <v>02 8507 0809</v>
      </c>
      <c r="I80" s="66"/>
      <c r="J80" s="68" t="s">
        <v>477</v>
      </c>
      <c r="K80" s="68" t="s">
        <v>478</v>
      </c>
      <c r="L80" s="44"/>
      <c r="M80" s="45"/>
      <c r="N80" s="45"/>
      <c r="O80" s="45"/>
      <c r="P80" s="46"/>
      <c r="Q80" s="47"/>
      <c r="R80" s="48"/>
      <c r="S80" s="48"/>
      <c r="T80" s="48"/>
      <c r="U80" s="48"/>
      <c r="V80" s="49"/>
    </row>
    <row r="81" spans="1:22" ht="28.5" customHeight="1" x14ac:dyDescent="0.35">
      <c r="A81" s="36" t="s">
        <v>479</v>
      </c>
      <c r="B81" s="66">
        <v>99130460829</v>
      </c>
      <c r="C81" s="66" t="s">
        <v>80</v>
      </c>
      <c r="D81" s="66" t="s">
        <v>480</v>
      </c>
      <c r="E81" s="66" t="s">
        <v>481</v>
      </c>
      <c r="F81" s="66" t="s">
        <v>379</v>
      </c>
      <c r="G81" s="66" t="str">
        <f>"3066"</f>
        <v>3066</v>
      </c>
      <c r="H81" s="66" t="str">
        <f>"03 9416 0046"</f>
        <v>03 9416 0046</v>
      </c>
      <c r="I81" s="66" t="str">
        <f>"0418541943"</f>
        <v>0418541943</v>
      </c>
      <c r="J81" s="68" t="s">
        <v>482</v>
      </c>
      <c r="K81" s="68" t="s">
        <v>483</v>
      </c>
      <c r="L81" s="44"/>
      <c r="M81" s="45"/>
      <c r="N81" s="45"/>
      <c r="O81" s="45"/>
      <c r="P81" s="46"/>
      <c r="Q81" s="47"/>
      <c r="R81" s="48"/>
      <c r="S81" s="48"/>
      <c r="T81" s="48"/>
      <c r="U81" s="48"/>
      <c r="V81" s="49"/>
    </row>
    <row r="82" spans="1:22" ht="28.5" customHeight="1" x14ac:dyDescent="0.35">
      <c r="A82" s="36" t="s">
        <v>484</v>
      </c>
      <c r="B82" s="66">
        <v>64646493987</v>
      </c>
      <c r="C82" s="66" t="s">
        <v>80</v>
      </c>
      <c r="D82" s="66" t="s">
        <v>485</v>
      </c>
      <c r="E82" s="66" t="s">
        <v>90</v>
      </c>
      <c r="F82" s="66" t="s">
        <v>107</v>
      </c>
      <c r="G82" s="66">
        <v>2604</v>
      </c>
      <c r="H82" s="67"/>
      <c r="I82" s="67" t="s">
        <v>486</v>
      </c>
      <c r="J82" s="68" t="s">
        <v>487</v>
      </c>
      <c r="K82" s="68" t="s">
        <v>488</v>
      </c>
      <c r="L82" s="44"/>
      <c r="M82" s="45"/>
      <c r="N82" s="45"/>
      <c r="O82" s="45"/>
      <c r="P82" s="46"/>
      <c r="Q82" s="47"/>
      <c r="R82" s="48"/>
      <c r="S82" s="48"/>
      <c r="T82" s="48"/>
      <c r="U82" s="48"/>
      <c r="V82" s="49"/>
    </row>
    <row r="83" spans="1:22" ht="28.5" customHeight="1" x14ac:dyDescent="0.35">
      <c r="A83" s="36" t="s">
        <v>489</v>
      </c>
      <c r="B83" s="66">
        <v>49606600891</v>
      </c>
      <c r="C83" s="66" t="s">
        <v>80</v>
      </c>
      <c r="D83" s="66" t="s">
        <v>490</v>
      </c>
      <c r="E83" s="66" t="s">
        <v>139</v>
      </c>
      <c r="F83" s="66" t="s">
        <v>83</v>
      </c>
      <c r="G83" s="66" t="str">
        <f>"2000"</f>
        <v>2000</v>
      </c>
      <c r="H83" s="66" t="str">
        <f>"02 9227 9700"</f>
        <v>02 9227 9700</v>
      </c>
      <c r="I83" s="66" t="str">
        <f>"0403046556"</f>
        <v>0403046556</v>
      </c>
      <c r="J83" s="68" t="s">
        <v>491</v>
      </c>
      <c r="K83" s="68" t="s">
        <v>492</v>
      </c>
      <c r="L83" s="44"/>
      <c r="M83" s="45"/>
      <c r="N83" s="45"/>
      <c r="O83" s="45"/>
      <c r="P83" s="46"/>
      <c r="Q83" s="47"/>
      <c r="R83" s="48"/>
      <c r="S83" s="48"/>
      <c r="T83" s="48"/>
      <c r="U83" s="48"/>
      <c r="V83" s="49"/>
    </row>
    <row r="84" spans="1:22" ht="28.5" customHeight="1" x14ac:dyDescent="0.35">
      <c r="A84" s="36" t="s">
        <v>493</v>
      </c>
      <c r="B84" s="66">
        <v>79609098704</v>
      </c>
      <c r="C84" s="66" t="s">
        <v>80</v>
      </c>
      <c r="D84" s="66" t="s">
        <v>494</v>
      </c>
      <c r="E84" s="66" t="s">
        <v>132</v>
      </c>
      <c r="F84" s="66" t="s">
        <v>83</v>
      </c>
      <c r="G84" s="66" t="str">
        <f>"2016"</f>
        <v>2016</v>
      </c>
      <c r="H84" s="66" t="str">
        <f>"02 8090 7737"</f>
        <v>02 8090 7737</v>
      </c>
      <c r="I84" s="66" t="str">
        <f>"0419292207"</f>
        <v>0419292207</v>
      </c>
      <c r="J84" s="68" t="s">
        <v>495</v>
      </c>
      <c r="K84" s="68" t="s">
        <v>496</v>
      </c>
      <c r="L84" s="44"/>
      <c r="M84" s="45"/>
      <c r="N84" s="45"/>
      <c r="O84" s="45"/>
      <c r="P84" s="46"/>
      <c r="Q84" s="47" t="s">
        <v>87</v>
      </c>
      <c r="R84" s="48" t="s">
        <v>87</v>
      </c>
      <c r="S84" s="48" t="s">
        <v>87</v>
      </c>
      <c r="T84" s="48" t="s">
        <v>87</v>
      </c>
      <c r="U84" s="48"/>
      <c r="V84" s="49" t="s">
        <v>87</v>
      </c>
    </row>
    <row r="85" spans="1:22" ht="28.5" customHeight="1" x14ac:dyDescent="0.35">
      <c r="A85" s="36" t="s">
        <v>497</v>
      </c>
      <c r="B85" s="66">
        <v>93604055674</v>
      </c>
      <c r="C85" s="66" t="s">
        <v>80</v>
      </c>
      <c r="D85" s="66" t="s">
        <v>498</v>
      </c>
      <c r="E85" s="66" t="s">
        <v>481</v>
      </c>
      <c r="F85" s="66" t="s">
        <v>83</v>
      </c>
      <c r="G85" s="66" t="str">
        <f>"2026"</f>
        <v>2026</v>
      </c>
      <c r="H85" s="66" t="str">
        <f>"02 8014 5657"</f>
        <v>02 8014 5657</v>
      </c>
      <c r="I85" s="66" t="str">
        <f>"0409938675"</f>
        <v>0409938675</v>
      </c>
      <c r="J85" s="68" t="s">
        <v>499</v>
      </c>
      <c r="K85" s="68" t="s">
        <v>500</v>
      </c>
      <c r="L85" s="44"/>
      <c r="M85" s="45"/>
      <c r="N85" s="45"/>
      <c r="O85" s="45"/>
      <c r="P85" s="46"/>
      <c r="Q85" s="47"/>
      <c r="R85" s="48"/>
      <c r="S85" s="48"/>
      <c r="T85" s="48"/>
      <c r="U85" s="48"/>
      <c r="V85" s="49"/>
    </row>
    <row r="86" spans="1:22" ht="28.5" customHeight="1" x14ac:dyDescent="0.35">
      <c r="A86" s="36" t="s">
        <v>501</v>
      </c>
      <c r="B86" s="66">
        <v>20001369991</v>
      </c>
      <c r="C86" s="66" t="s">
        <v>80</v>
      </c>
      <c r="D86" s="66" t="s">
        <v>502</v>
      </c>
      <c r="E86" s="66" t="s">
        <v>132</v>
      </c>
      <c r="F86" s="66" t="s">
        <v>83</v>
      </c>
      <c r="G86" s="66" t="str">
        <f>"2010"</f>
        <v>2010</v>
      </c>
      <c r="H86" s="66" t="str">
        <f>"02 9212 1800"</f>
        <v>02 9212 1800</v>
      </c>
      <c r="I86" s="66" t="str">
        <f>"0417411471"</f>
        <v>0417411471</v>
      </c>
      <c r="J86" s="68" t="s">
        <v>503</v>
      </c>
      <c r="K86" s="68" t="s">
        <v>504</v>
      </c>
      <c r="L86" s="44"/>
      <c r="M86" s="45"/>
      <c r="N86" s="45"/>
      <c r="O86" s="45"/>
      <c r="P86" s="46"/>
      <c r="Q86" s="47"/>
      <c r="R86" s="48"/>
      <c r="S86" s="48"/>
      <c r="T86" s="48"/>
      <c r="U86" s="48"/>
      <c r="V86" s="49"/>
    </row>
    <row r="87" spans="1:22" ht="28.5" customHeight="1" x14ac:dyDescent="0.35">
      <c r="A87" s="72" t="s">
        <v>505</v>
      </c>
      <c r="B87" s="69">
        <v>51140718038</v>
      </c>
      <c r="C87" s="69" t="s">
        <v>80</v>
      </c>
      <c r="D87" s="69" t="s">
        <v>506</v>
      </c>
      <c r="E87" s="69" t="s">
        <v>507</v>
      </c>
      <c r="F87" s="69" t="s">
        <v>83</v>
      </c>
      <c r="G87" s="69">
        <v>2060</v>
      </c>
      <c r="H87" s="69"/>
      <c r="I87" s="71" t="s">
        <v>508</v>
      </c>
      <c r="J87" s="70" t="s">
        <v>509</v>
      </c>
      <c r="K87" s="70" t="s">
        <v>510</v>
      </c>
      <c r="L87" s="44"/>
      <c r="M87" s="45"/>
      <c r="N87" s="45"/>
      <c r="O87" s="45"/>
      <c r="P87" s="46"/>
      <c r="Q87" s="47"/>
      <c r="R87" s="48"/>
      <c r="S87" s="48"/>
      <c r="T87" s="48"/>
      <c r="U87" s="48"/>
      <c r="V87" s="49"/>
    </row>
    <row r="88" spans="1:22" ht="28.5" customHeight="1" x14ac:dyDescent="0.35">
      <c r="A88" s="36" t="s">
        <v>511</v>
      </c>
      <c r="B88" s="66">
        <v>39126100276</v>
      </c>
      <c r="C88" s="66" t="s">
        <v>80</v>
      </c>
      <c r="D88" s="66" t="s">
        <v>512</v>
      </c>
      <c r="E88" s="66" t="s">
        <v>513</v>
      </c>
      <c r="F88" s="66" t="s">
        <v>379</v>
      </c>
      <c r="G88" s="66" t="str">
        <f>"3000"</f>
        <v>3000</v>
      </c>
      <c r="H88" s="66"/>
      <c r="I88" s="66" t="str">
        <f>"0402009984"</f>
        <v>0402009984</v>
      </c>
      <c r="J88" s="68" t="s">
        <v>514</v>
      </c>
      <c r="K88" s="68" t="s">
        <v>515</v>
      </c>
      <c r="L88" s="44"/>
      <c r="M88" s="45"/>
      <c r="N88" s="45"/>
      <c r="O88" s="45" t="s">
        <v>87</v>
      </c>
      <c r="P88" s="46"/>
      <c r="Q88" s="47"/>
      <c r="R88" s="48"/>
      <c r="S88" s="48" t="s">
        <v>87</v>
      </c>
      <c r="T88" s="48"/>
      <c r="U88" s="48"/>
      <c r="V88" s="49"/>
    </row>
    <row r="89" spans="1:22" ht="28.5" customHeight="1" x14ac:dyDescent="0.35">
      <c r="A89" s="36" t="s">
        <v>516</v>
      </c>
      <c r="B89" s="66">
        <v>83072426709</v>
      </c>
      <c r="C89" s="66" t="s">
        <v>80</v>
      </c>
      <c r="D89" s="66" t="s">
        <v>517</v>
      </c>
      <c r="E89" s="66" t="s">
        <v>218</v>
      </c>
      <c r="F89" s="66" t="s">
        <v>83</v>
      </c>
      <c r="G89" s="66" t="str">
        <f>"2010"</f>
        <v>2010</v>
      </c>
      <c r="H89" s="66" t="str">
        <f>"02 8303 5500"</f>
        <v>02 8303 5500</v>
      </c>
      <c r="I89" s="66" t="str">
        <f>"0411555336"</f>
        <v>0411555336</v>
      </c>
      <c r="J89" s="68" t="s">
        <v>518</v>
      </c>
      <c r="K89" s="68" t="s">
        <v>519</v>
      </c>
      <c r="L89" s="44"/>
      <c r="M89" s="45"/>
      <c r="N89" s="45"/>
      <c r="O89" s="45"/>
      <c r="P89" s="46"/>
      <c r="Q89" s="47"/>
      <c r="R89" s="48"/>
      <c r="S89" s="48"/>
      <c r="T89" s="48"/>
      <c r="U89" s="48"/>
      <c r="V89" s="49"/>
    </row>
    <row r="90" spans="1:22" ht="28.5" customHeight="1" x14ac:dyDescent="0.35">
      <c r="A90" s="36" t="s">
        <v>520</v>
      </c>
      <c r="B90" s="66">
        <v>64125411958</v>
      </c>
      <c r="C90" s="66" t="s">
        <v>80</v>
      </c>
      <c r="D90" s="66" t="s">
        <v>521</v>
      </c>
      <c r="E90" s="66" t="s">
        <v>522</v>
      </c>
      <c r="F90" s="66" t="s">
        <v>83</v>
      </c>
      <c r="G90" s="66">
        <v>2088</v>
      </c>
      <c r="H90" s="66"/>
      <c r="I90" s="67" t="s">
        <v>523</v>
      </c>
      <c r="J90" s="68" t="s">
        <v>524</v>
      </c>
      <c r="K90" s="68" t="s">
        <v>525</v>
      </c>
      <c r="L90" s="44"/>
      <c r="M90" s="45"/>
      <c r="N90" s="45"/>
      <c r="O90" s="45"/>
      <c r="P90" s="46"/>
      <c r="Q90" s="47"/>
      <c r="R90" s="48"/>
      <c r="S90" s="48"/>
      <c r="T90" s="48"/>
      <c r="U90" s="48"/>
      <c r="V90" s="49"/>
    </row>
    <row r="91" spans="1:22" ht="28.5" customHeight="1" x14ac:dyDescent="0.35">
      <c r="A91" s="36" t="s">
        <v>526</v>
      </c>
      <c r="B91" s="66">
        <v>50005373508</v>
      </c>
      <c r="C91" s="66" t="s">
        <v>80</v>
      </c>
      <c r="D91" s="66" t="s">
        <v>527</v>
      </c>
      <c r="E91" s="66" t="s">
        <v>528</v>
      </c>
      <c r="F91" s="66" t="s">
        <v>83</v>
      </c>
      <c r="G91" s="66" t="str">
        <f>"2000"</f>
        <v>2000</v>
      </c>
      <c r="H91" s="66" t="str">
        <f>"02 9277 1242"</f>
        <v>02 9277 1242</v>
      </c>
      <c r="I91" s="66" t="str">
        <f>"0403488477"</f>
        <v>0403488477</v>
      </c>
      <c r="J91" s="68" t="s">
        <v>529</v>
      </c>
      <c r="K91" s="68" t="s">
        <v>530</v>
      </c>
      <c r="L91" s="44"/>
      <c r="M91" s="45"/>
      <c r="N91" s="45"/>
      <c r="O91" s="45"/>
      <c r="P91" s="46"/>
      <c r="Q91" s="47" t="s">
        <v>87</v>
      </c>
      <c r="R91" s="48" t="s">
        <v>87</v>
      </c>
      <c r="S91" s="48" t="s">
        <v>87</v>
      </c>
      <c r="T91" s="48" t="s">
        <v>87</v>
      </c>
      <c r="U91" s="48" t="s">
        <v>87</v>
      </c>
      <c r="V91" s="49" t="s">
        <v>87</v>
      </c>
    </row>
    <row r="92" spans="1:22" ht="28.5" customHeight="1" x14ac:dyDescent="0.35">
      <c r="A92" s="36" t="s">
        <v>531</v>
      </c>
      <c r="B92" s="66">
        <v>49601462677</v>
      </c>
      <c r="C92" s="66" t="s">
        <v>80</v>
      </c>
      <c r="D92" s="66" t="s">
        <v>532</v>
      </c>
      <c r="E92" s="66" t="s">
        <v>152</v>
      </c>
      <c r="F92" s="66" t="s">
        <v>379</v>
      </c>
      <c r="G92" s="66" t="str">
        <f>"3166"</f>
        <v>3166</v>
      </c>
      <c r="H92" s="66" t="str">
        <f>"1300 727 441"</f>
        <v>1300 727 441</v>
      </c>
      <c r="I92" s="66" t="str">
        <f>"0412650273"</f>
        <v>0412650273</v>
      </c>
      <c r="J92" s="68" t="s">
        <v>533</v>
      </c>
      <c r="K92" s="68" t="s">
        <v>534</v>
      </c>
      <c r="L92" s="44"/>
      <c r="M92" s="45"/>
      <c r="N92" s="45"/>
      <c r="O92" s="45"/>
      <c r="P92" s="46"/>
      <c r="Q92" s="47" t="s">
        <v>87</v>
      </c>
      <c r="R92" s="48" t="s">
        <v>87</v>
      </c>
      <c r="S92" s="48"/>
      <c r="T92" s="48" t="s">
        <v>87</v>
      </c>
      <c r="U92" s="48"/>
      <c r="V92" s="49"/>
    </row>
    <row r="93" spans="1:22" ht="28.5" customHeight="1" x14ac:dyDescent="0.35">
      <c r="A93" s="36" t="s">
        <v>535</v>
      </c>
      <c r="B93" s="66">
        <v>34635209219</v>
      </c>
      <c r="C93" s="66" t="s">
        <v>80</v>
      </c>
      <c r="D93" s="66" t="s">
        <v>536</v>
      </c>
      <c r="E93" s="66" t="s">
        <v>537</v>
      </c>
      <c r="F93" s="66" t="s">
        <v>83</v>
      </c>
      <c r="G93" s="66">
        <v>2000</v>
      </c>
      <c r="H93" s="66" t="s">
        <v>538</v>
      </c>
      <c r="I93" s="67" t="s">
        <v>539</v>
      </c>
      <c r="J93" s="68" t="s">
        <v>540</v>
      </c>
      <c r="K93" s="68" t="s">
        <v>541</v>
      </c>
      <c r="L93" s="44"/>
      <c r="M93" s="45"/>
      <c r="N93" s="45"/>
      <c r="O93" s="45"/>
      <c r="P93" s="46"/>
      <c r="Q93" s="47"/>
      <c r="R93" s="48"/>
      <c r="S93" s="48"/>
      <c r="T93" s="48"/>
      <c r="U93" s="48"/>
      <c r="V93" s="49"/>
    </row>
    <row r="94" spans="1:22" ht="28.5" customHeight="1" x14ac:dyDescent="0.35">
      <c r="A94" s="36" t="s">
        <v>542</v>
      </c>
      <c r="B94" s="66">
        <v>86161271503</v>
      </c>
      <c r="C94" s="66" t="s">
        <v>80</v>
      </c>
      <c r="D94" s="66" t="s">
        <v>543</v>
      </c>
      <c r="E94" s="66" t="s">
        <v>139</v>
      </c>
      <c r="F94" s="66" t="s">
        <v>83</v>
      </c>
      <c r="G94" s="66">
        <v>2000</v>
      </c>
      <c r="H94" s="66" t="s">
        <v>544</v>
      </c>
      <c r="I94" s="67" t="s">
        <v>545</v>
      </c>
      <c r="J94" s="68" t="s">
        <v>546</v>
      </c>
      <c r="K94" s="68" t="s">
        <v>547</v>
      </c>
      <c r="L94" s="44"/>
      <c r="M94" s="45"/>
      <c r="N94" s="45"/>
      <c r="O94" s="45"/>
      <c r="P94" s="46"/>
      <c r="Q94" s="47"/>
      <c r="R94" s="48"/>
      <c r="S94" s="48"/>
      <c r="T94" s="48"/>
      <c r="U94" s="48"/>
      <c r="V94" s="49"/>
    </row>
    <row r="95" spans="1:22" ht="28.5" customHeight="1" x14ac:dyDescent="0.35">
      <c r="A95" s="36" t="s">
        <v>548</v>
      </c>
      <c r="B95" s="66">
        <v>87142679221</v>
      </c>
      <c r="C95" s="66" t="s">
        <v>80</v>
      </c>
      <c r="D95" s="66" t="s">
        <v>549</v>
      </c>
      <c r="E95" s="66" t="s">
        <v>335</v>
      </c>
      <c r="F95" s="66" t="s">
        <v>83</v>
      </c>
      <c r="G95" s="66">
        <v>2007</v>
      </c>
      <c r="H95" s="67" t="s">
        <v>550</v>
      </c>
      <c r="I95" s="67" t="s">
        <v>551</v>
      </c>
      <c r="J95" s="68" t="s">
        <v>552</v>
      </c>
      <c r="K95" s="68" t="s">
        <v>553</v>
      </c>
      <c r="L95" s="44"/>
      <c r="M95" s="45"/>
      <c r="N95" s="45"/>
      <c r="O95" s="45" t="s">
        <v>87</v>
      </c>
      <c r="P95" s="46"/>
      <c r="Q95" s="47"/>
      <c r="R95" s="48"/>
      <c r="S95" s="48" t="s">
        <v>87</v>
      </c>
      <c r="T95" s="48"/>
      <c r="U95" s="48" t="s">
        <v>87</v>
      </c>
      <c r="V95" s="49"/>
    </row>
    <row r="96" spans="1:22" ht="28.5" customHeight="1" x14ac:dyDescent="0.35">
      <c r="A96" s="36" t="s">
        <v>554</v>
      </c>
      <c r="B96" s="66">
        <v>47601561424</v>
      </c>
      <c r="C96" s="66" t="s">
        <v>80</v>
      </c>
      <c r="D96" s="66" t="s">
        <v>555</v>
      </c>
      <c r="E96" s="66" t="s">
        <v>466</v>
      </c>
      <c r="F96" s="66" t="s">
        <v>83</v>
      </c>
      <c r="G96" s="66" t="str">
        <f>"2061"</f>
        <v>2061</v>
      </c>
      <c r="H96" s="66"/>
      <c r="I96" s="66" t="str">
        <f>"02 9246 0775"</f>
        <v>02 9246 0775</v>
      </c>
      <c r="J96" s="68" t="s">
        <v>556</v>
      </c>
      <c r="K96" s="68" t="s">
        <v>557</v>
      </c>
      <c r="L96" s="44"/>
      <c r="M96" s="45"/>
      <c r="N96" s="45"/>
      <c r="O96" s="45"/>
      <c r="P96" s="46"/>
      <c r="Q96" s="47"/>
      <c r="R96" s="48"/>
      <c r="S96" s="48"/>
      <c r="T96" s="48"/>
      <c r="U96" s="48"/>
      <c r="V96" s="49"/>
    </row>
    <row r="97" spans="1:22" ht="28.5" customHeight="1" x14ac:dyDescent="0.35">
      <c r="A97" s="72" t="s">
        <v>558</v>
      </c>
      <c r="B97" s="69">
        <v>20164933486</v>
      </c>
      <c r="C97" s="69" t="s">
        <v>80</v>
      </c>
      <c r="D97" s="69" t="s">
        <v>559</v>
      </c>
      <c r="E97" s="69" t="s">
        <v>132</v>
      </c>
      <c r="F97" s="69" t="s">
        <v>83</v>
      </c>
      <c r="G97" s="69">
        <v>2011</v>
      </c>
      <c r="H97" s="69"/>
      <c r="I97" s="71" t="s">
        <v>560</v>
      </c>
      <c r="J97" s="70" t="s">
        <v>561</v>
      </c>
      <c r="K97" s="70" t="s">
        <v>562</v>
      </c>
      <c r="L97" s="44"/>
      <c r="M97" s="45"/>
      <c r="N97" s="45"/>
      <c r="O97" s="45"/>
      <c r="P97" s="46"/>
      <c r="Q97" s="47"/>
      <c r="R97" s="48"/>
      <c r="S97" s="48"/>
      <c r="T97" s="48"/>
      <c r="U97" s="48"/>
      <c r="V97" s="49"/>
    </row>
    <row r="98" spans="1:22" ht="28.5" customHeight="1" x14ac:dyDescent="0.35">
      <c r="A98" s="36" t="s">
        <v>563</v>
      </c>
      <c r="B98" s="66">
        <v>96603400317</v>
      </c>
      <c r="C98" s="66" t="s">
        <v>80</v>
      </c>
      <c r="D98" s="66" t="s">
        <v>564</v>
      </c>
      <c r="E98" s="66" t="s">
        <v>565</v>
      </c>
      <c r="F98" s="66" t="s">
        <v>83</v>
      </c>
      <c r="G98" s="66" t="str">
        <f>"2289"</f>
        <v>2289</v>
      </c>
      <c r="H98" s="66"/>
      <c r="I98" s="66" t="str">
        <f>"0499688068"</f>
        <v>0499688068</v>
      </c>
      <c r="J98" s="68" t="s">
        <v>566</v>
      </c>
      <c r="K98" s="68" t="s">
        <v>567</v>
      </c>
      <c r="L98" s="44"/>
      <c r="M98" s="45"/>
      <c r="N98" s="45"/>
      <c r="O98" s="45"/>
      <c r="P98" s="46"/>
      <c r="Q98" s="47"/>
      <c r="R98" s="48"/>
      <c r="S98" s="48"/>
      <c r="T98" s="48"/>
      <c r="U98" s="48"/>
      <c r="V98" s="49"/>
    </row>
    <row r="99" spans="1:22" ht="28.5" customHeight="1" x14ac:dyDescent="0.35">
      <c r="A99" s="36" t="s">
        <v>568</v>
      </c>
      <c r="B99" s="66">
        <v>56124587364</v>
      </c>
      <c r="C99" s="66" t="s">
        <v>80</v>
      </c>
      <c r="D99" s="66" t="s">
        <v>569</v>
      </c>
      <c r="E99" s="66" t="s">
        <v>570</v>
      </c>
      <c r="F99" s="66" t="s">
        <v>83</v>
      </c>
      <c r="G99" s="66" t="str">
        <f>"2007"</f>
        <v>2007</v>
      </c>
      <c r="H99" s="66" t="str">
        <f>"02 8580 0419"</f>
        <v>02 8580 0419</v>
      </c>
      <c r="I99" s="67" t="s">
        <v>571</v>
      </c>
      <c r="J99" s="68" t="s">
        <v>572</v>
      </c>
      <c r="K99" s="68" t="s">
        <v>573</v>
      </c>
      <c r="L99" s="44"/>
      <c r="M99" s="45"/>
      <c r="N99" s="45"/>
      <c r="O99" s="45"/>
      <c r="P99" s="46"/>
      <c r="Q99" s="47"/>
      <c r="R99" s="48"/>
      <c r="S99" s="48"/>
      <c r="T99" s="48"/>
      <c r="U99" s="48"/>
      <c r="V99" s="49"/>
    </row>
    <row r="100" spans="1:22" ht="28.5" customHeight="1" x14ac:dyDescent="0.35">
      <c r="A100" s="36" t="s">
        <v>574</v>
      </c>
      <c r="B100" s="66">
        <v>87073263457</v>
      </c>
      <c r="C100" s="66" t="s">
        <v>80</v>
      </c>
      <c r="D100" s="66" t="s">
        <v>575</v>
      </c>
      <c r="E100" s="66" t="s">
        <v>132</v>
      </c>
      <c r="F100" s="66" t="s">
        <v>83</v>
      </c>
      <c r="G100" s="66" t="str">
        <f>"2038"</f>
        <v>2038</v>
      </c>
      <c r="H100" s="66" t="str">
        <f>"02 9557 8122"</f>
        <v>02 9557 8122</v>
      </c>
      <c r="I100" s="66" t="str">
        <f>""</f>
        <v/>
      </c>
      <c r="J100" s="68" t="s">
        <v>576</v>
      </c>
      <c r="K100" s="68" t="s">
        <v>577</v>
      </c>
      <c r="L100" s="44"/>
      <c r="M100" s="45"/>
      <c r="N100" s="45"/>
      <c r="O100" s="45"/>
      <c r="P100" s="46"/>
      <c r="Q100" s="47"/>
      <c r="R100" s="48"/>
      <c r="S100" s="48"/>
      <c r="T100" s="48"/>
      <c r="U100" s="48"/>
      <c r="V100" s="49"/>
    </row>
    <row r="101" spans="1:22" ht="28.5" customHeight="1" x14ac:dyDescent="0.35">
      <c r="A101" s="36" t="s">
        <v>578</v>
      </c>
      <c r="B101" s="66">
        <v>83602134298</v>
      </c>
      <c r="C101" s="66" t="s">
        <v>80</v>
      </c>
      <c r="D101" s="66" t="s">
        <v>579</v>
      </c>
      <c r="E101" s="66" t="s">
        <v>580</v>
      </c>
      <c r="F101" s="66" t="s">
        <v>83</v>
      </c>
      <c r="G101" s="66" t="str">
        <f>"2008"</f>
        <v>2008</v>
      </c>
      <c r="H101" s="66"/>
      <c r="I101" s="66" t="str">
        <f>"0437478586"</f>
        <v>0437478586</v>
      </c>
      <c r="J101" s="68" t="s">
        <v>581</v>
      </c>
      <c r="K101" s="68" t="s">
        <v>582</v>
      </c>
      <c r="L101" s="44"/>
      <c r="M101" s="45"/>
      <c r="N101" s="45"/>
      <c r="O101" s="45"/>
      <c r="P101" s="46"/>
      <c r="Q101" s="47"/>
      <c r="R101" s="48"/>
      <c r="S101" s="48"/>
      <c r="T101" s="48"/>
      <c r="U101" s="48"/>
      <c r="V101" s="49"/>
    </row>
    <row r="102" spans="1:22" ht="28.5" customHeight="1" x14ac:dyDescent="0.35">
      <c r="A102" s="36" t="s">
        <v>583</v>
      </c>
      <c r="B102" s="66">
        <v>76601904616</v>
      </c>
      <c r="C102" s="66" t="s">
        <v>80</v>
      </c>
      <c r="D102" s="66" t="s">
        <v>584</v>
      </c>
      <c r="E102" s="66" t="s">
        <v>132</v>
      </c>
      <c r="F102" s="66" t="s">
        <v>83</v>
      </c>
      <c r="G102" s="66" t="str">
        <f>"2010"</f>
        <v>2010</v>
      </c>
      <c r="H102" s="66"/>
      <c r="I102" s="66" t="str">
        <f>"0405308496"</f>
        <v>0405308496</v>
      </c>
      <c r="J102" s="68" t="s">
        <v>585</v>
      </c>
      <c r="K102" s="68" t="s">
        <v>586</v>
      </c>
      <c r="L102" s="44"/>
      <c r="M102" s="45"/>
      <c r="N102" s="45"/>
      <c r="O102" s="45"/>
      <c r="P102" s="46"/>
      <c r="Q102" s="47"/>
      <c r="R102" s="48"/>
      <c r="S102" s="48"/>
      <c r="T102" s="48"/>
      <c r="U102" s="48"/>
      <c r="V102" s="49"/>
    </row>
    <row r="103" spans="1:22" ht="28.5" customHeight="1" x14ac:dyDescent="0.35">
      <c r="A103" s="36" t="s">
        <v>587</v>
      </c>
      <c r="B103" s="66">
        <v>82112851742</v>
      </c>
      <c r="C103" s="66" t="s">
        <v>80</v>
      </c>
      <c r="D103" s="66" t="s">
        <v>588</v>
      </c>
      <c r="E103" s="66" t="s">
        <v>90</v>
      </c>
      <c r="F103" s="66" t="s">
        <v>83</v>
      </c>
      <c r="G103" s="66" t="str">
        <f>"2010"</f>
        <v>2010</v>
      </c>
      <c r="H103" s="66" t="str">
        <f>"02 8116 9033"</f>
        <v>02 8116 9033</v>
      </c>
      <c r="I103" s="67" t="s">
        <v>589</v>
      </c>
      <c r="J103" s="68" t="s">
        <v>590</v>
      </c>
      <c r="K103" s="68" t="s">
        <v>591</v>
      </c>
      <c r="L103" s="44"/>
      <c r="M103" s="45"/>
      <c r="N103" s="45"/>
      <c r="O103" s="45"/>
      <c r="P103" s="46"/>
      <c r="Q103" s="47"/>
      <c r="R103" s="48"/>
      <c r="S103" s="48"/>
      <c r="T103" s="48"/>
      <c r="U103" s="48"/>
      <c r="V103" s="49"/>
    </row>
    <row r="104" spans="1:22" ht="28.5" customHeight="1" x14ac:dyDescent="0.35">
      <c r="A104" s="36" t="s">
        <v>592</v>
      </c>
      <c r="B104" s="66">
        <v>33098672596</v>
      </c>
      <c r="C104" s="66" t="s">
        <v>80</v>
      </c>
      <c r="D104" s="66" t="s">
        <v>593</v>
      </c>
      <c r="E104" s="66" t="s">
        <v>594</v>
      </c>
      <c r="F104" s="66" t="s">
        <v>83</v>
      </c>
      <c r="G104" s="66" t="str">
        <f>"2000"</f>
        <v>2000</v>
      </c>
      <c r="H104" s="66" t="str">
        <f>"02 9087 1266"</f>
        <v>02 9087 1266</v>
      </c>
      <c r="I104" s="66" t="str">
        <f>"0414925870"</f>
        <v>0414925870</v>
      </c>
      <c r="J104" s="68" t="s">
        <v>595</v>
      </c>
      <c r="K104" s="68" t="s">
        <v>596</v>
      </c>
      <c r="L104" s="44"/>
      <c r="M104" s="45"/>
      <c r="N104" s="45"/>
      <c r="O104" s="45"/>
      <c r="P104" s="46"/>
      <c r="Q104" s="47"/>
      <c r="R104" s="48"/>
      <c r="S104" s="48"/>
      <c r="T104" s="48"/>
      <c r="U104" s="48"/>
      <c r="V104" s="49"/>
    </row>
    <row r="105" spans="1:22" ht="28.5" customHeight="1" x14ac:dyDescent="0.35">
      <c r="A105" s="36" t="s">
        <v>597</v>
      </c>
      <c r="B105" s="66">
        <v>94143802706</v>
      </c>
      <c r="C105" s="66" t="s">
        <v>80</v>
      </c>
      <c r="D105" s="66" t="s">
        <v>598</v>
      </c>
      <c r="E105" s="66" t="s">
        <v>599</v>
      </c>
      <c r="F105" s="66" t="s">
        <v>83</v>
      </c>
      <c r="G105" s="66">
        <v>2010</v>
      </c>
      <c r="H105" s="67" t="s">
        <v>600</v>
      </c>
      <c r="I105" s="67" t="s">
        <v>601</v>
      </c>
      <c r="J105" s="68" t="s">
        <v>602</v>
      </c>
      <c r="K105" s="68" t="s">
        <v>603</v>
      </c>
      <c r="L105" s="44"/>
      <c r="M105" s="45"/>
      <c r="N105" s="45"/>
      <c r="O105" s="45"/>
      <c r="P105" s="46"/>
      <c r="Q105" s="47"/>
      <c r="R105" s="48"/>
      <c r="S105" s="48"/>
      <c r="T105" s="48"/>
      <c r="U105" s="48"/>
      <c r="V105" s="49"/>
    </row>
    <row r="106" spans="1:22" ht="28.5" customHeight="1" x14ac:dyDescent="0.35">
      <c r="A106" s="36" t="s">
        <v>604</v>
      </c>
      <c r="B106" s="66">
        <v>13287659174</v>
      </c>
      <c r="C106" s="66" t="s">
        <v>80</v>
      </c>
      <c r="D106" s="66" t="s">
        <v>605</v>
      </c>
      <c r="E106" s="66" t="s">
        <v>139</v>
      </c>
      <c r="F106" s="66" t="s">
        <v>83</v>
      </c>
      <c r="G106" s="66" t="str">
        <f>"2640"</f>
        <v>2640</v>
      </c>
      <c r="H106" s="66"/>
      <c r="I106" s="66" t="str">
        <f>"0447648692"</f>
        <v>0447648692</v>
      </c>
      <c r="J106" s="68" t="s">
        <v>606</v>
      </c>
      <c r="K106" s="68" t="s">
        <v>607</v>
      </c>
      <c r="L106" s="44"/>
      <c r="M106" s="45"/>
      <c r="N106" s="45"/>
      <c r="O106" s="45"/>
      <c r="P106" s="46"/>
      <c r="Q106" s="47"/>
      <c r="R106" s="48"/>
      <c r="S106" s="48"/>
      <c r="T106" s="48"/>
      <c r="U106" s="48"/>
      <c r="V106" s="49"/>
    </row>
    <row r="107" spans="1:22" ht="28.5" customHeight="1" x14ac:dyDescent="0.35">
      <c r="A107" s="36" t="s">
        <v>608</v>
      </c>
      <c r="B107" s="66">
        <v>53653683428</v>
      </c>
      <c r="C107" s="66" t="s">
        <v>80</v>
      </c>
      <c r="D107" s="66" t="s">
        <v>609</v>
      </c>
      <c r="E107" s="66" t="s">
        <v>90</v>
      </c>
      <c r="F107" s="66" t="s">
        <v>83</v>
      </c>
      <c r="G107" s="66" t="str">
        <f>"2515"</f>
        <v>2515</v>
      </c>
      <c r="H107" s="67" t="s">
        <v>610</v>
      </c>
      <c r="I107" s="66" t="str">
        <f>"0401310635"</f>
        <v>0401310635</v>
      </c>
      <c r="J107" s="68" t="s">
        <v>611</v>
      </c>
      <c r="K107" s="68" t="s">
        <v>612</v>
      </c>
      <c r="L107" s="44"/>
      <c r="M107" s="45"/>
      <c r="N107" s="45"/>
      <c r="O107" s="45"/>
      <c r="P107" s="46"/>
      <c r="Q107" s="47"/>
      <c r="R107" s="48"/>
      <c r="S107" s="48"/>
      <c r="T107" s="48"/>
      <c r="U107" s="48"/>
      <c r="V107" s="49"/>
    </row>
    <row r="108" spans="1:22" ht="28.5" customHeight="1" x14ac:dyDescent="0.35">
      <c r="A108" s="36" t="s">
        <v>613</v>
      </c>
      <c r="B108" s="66">
        <v>15131355907</v>
      </c>
      <c r="C108" s="66" t="s">
        <v>80</v>
      </c>
      <c r="D108" s="66" t="s">
        <v>614</v>
      </c>
      <c r="E108" s="66" t="s">
        <v>90</v>
      </c>
      <c r="F108" s="66" t="s">
        <v>83</v>
      </c>
      <c r="G108" s="66">
        <v>2010</v>
      </c>
      <c r="H108" s="66" t="s">
        <v>615</v>
      </c>
      <c r="I108" s="67" t="s">
        <v>616</v>
      </c>
      <c r="J108" s="68" t="s">
        <v>617</v>
      </c>
      <c r="K108" s="68" t="s">
        <v>618</v>
      </c>
      <c r="L108" s="44"/>
      <c r="M108" s="45"/>
      <c r="N108" s="45"/>
      <c r="O108" s="45"/>
      <c r="P108" s="46"/>
      <c r="Q108" s="47"/>
      <c r="R108" s="48"/>
      <c r="S108" s="48"/>
      <c r="T108" s="48"/>
      <c r="U108" s="48"/>
      <c r="V108" s="49"/>
    </row>
    <row r="109" spans="1:22" ht="28.5" customHeight="1" x14ac:dyDescent="0.35">
      <c r="A109" s="36" t="s">
        <v>619</v>
      </c>
      <c r="B109" s="66">
        <v>27621318492</v>
      </c>
      <c r="C109" s="66" t="s">
        <v>80</v>
      </c>
      <c r="D109" s="66" t="s">
        <v>620</v>
      </c>
      <c r="E109" s="66" t="s">
        <v>528</v>
      </c>
      <c r="F109" s="66" t="s">
        <v>83</v>
      </c>
      <c r="G109" s="66">
        <v>2021</v>
      </c>
      <c r="H109" s="67"/>
      <c r="I109" s="67" t="s">
        <v>621</v>
      </c>
      <c r="J109" s="68" t="s">
        <v>622</v>
      </c>
      <c r="K109" s="68" t="s">
        <v>623</v>
      </c>
      <c r="L109" s="44"/>
      <c r="M109" s="45"/>
      <c r="N109" s="45"/>
      <c r="O109" s="45"/>
      <c r="P109" s="46"/>
      <c r="Q109" s="47"/>
      <c r="R109" s="48"/>
      <c r="S109" s="48"/>
      <c r="T109" s="48"/>
      <c r="U109" s="48"/>
      <c r="V109" s="49"/>
    </row>
    <row r="110" spans="1:22" ht="28.5" customHeight="1" x14ac:dyDescent="0.35">
      <c r="A110" s="72" t="s">
        <v>624</v>
      </c>
      <c r="B110" s="69">
        <v>63605367324</v>
      </c>
      <c r="C110" s="69" t="s">
        <v>80</v>
      </c>
      <c r="D110" s="69" t="s">
        <v>625</v>
      </c>
      <c r="E110" s="69" t="s">
        <v>90</v>
      </c>
      <c r="F110" s="69" t="s">
        <v>83</v>
      </c>
      <c r="G110" s="69">
        <v>2300</v>
      </c>
      <c r="H110" s="69"/>
      <c r="I110" s="71" t="s">
        <v>626</v>
      </c>
      <c r="J110" s="70" t="s">
        <v>627</v>
      </c>
      <c r="K110" s="70" t="s">
        <v>628</v>
      </c>
      <c r="L110" s="44"/>
      <c r="M110" s="45"/>
      <c r="N110" s="45"/>
      <c r="O110" s="45"/>
      <c r="P110" s="46"/>
      <c r="Q110" s="47"/>
      <c r="R110" s="48"/>
      <c r="S110" s="48"/>
      <c r="T110" s="48"/>
      <c r="U110" s="48"/>
      <c r="V110" s="49"/>
    </row>
    <row r="111" spans="1:22" ht="28.5" customHeight="1" x14ac:dyDescent="0.35">
      <c r="A111" s="36" t="s">
        <v>629</v>
      </c>
      <c r="B111" s="66">
        <v>81163692662</v>
      </c>
      <c r="C111" s="66" t="s">
        <v>80</v>
      </c>
      <c r="D111" s="66" t="s">
        <v>630</v>
      </c>
      <c r="E111" s="66" t="s">
        <v>631</v>
      </c>
      <c r="F111" s="66" t="s">
        <v>83</v>
      </c>
      <c r="G111" s="66">
        <v>2010</v>
      </c>
      <c r="H111" s="66" t="s">
        <v>632</v>
      </c>
      <c r="I111" s="67" t="s">
        <v>633</v>
      </c>
      <c r="J111" s="68" t="s">
        <v>634</v>
      </c>
      <c r="K111" s="68" t="s">
        <v>635</v>
      </c>
      <c r="L111" s="44"/>
      <c r="M111" s="45"/>
      <c r="N111" s="45"/>
      <c r="O111" s="45"/>
      <c r="P111" s="46"/>
      <c r="Q111" s="47"/>
      <c r="R111" s="48"/>
      <c r="S111" s="48"/>
      <c r="T111" s="48"/>
      <c r="U111" s="48"/>
      <c r="V111" s="49"/>
    </row>
    <row r="112" spans="1:22" ht="28.5" customHeight="1" x14ac:dyDescent="0.35">
      <c r="A112" s="36" t="s">
        <v>636</v>
      </c>
      <c r="B112" s="66">
        <v>71133454485</v>
      </c>
      <c r="C112" s="66" t="s">
        <v>80</v>
      </c>
      <c r="D112" s="66" t="s">
        <v>637</v>
      </c>
      <c r="E112" s="66" t="s">
        <v>132</v>
      </c>
      <c r="F112" s="66" t="s">
        <v>83</v>
      </c>
      <c r="G112" s="66" t="str">
        <f>"3205"</f>
        <v>3205</v>
      </c>
      <c r="H112" s="66" t="str">
        <f>"03 9245 9245"</f>
        <v>03 9245 9245</v>
      </c>
      <c r="I112" s="66" t="str">
        <f>"0417334399"</f>
        <v>0417334399</v>
      </c>
      <c r="J112" s="68" t="s">
        <v>638</v>
      </c>
      <c r="K112" s="68" t="s">
        <v>639</v>
      </c>
      <c r="L112" s="44"/>
      <c r="M112" s="45"/>
      <c r="N112" s="45"/>
      <c r="O112" s="45"/>
      <c r="P112" s="46"/>
      <c r="Q112" s="47"/>
      <c r="R112" s="48"/>
      <c r="S112" s="48"/>
      <c r="T112" s="48"/>
      <c r="U112" s="48"/>
      <c r="V112" s="49"/>
    </row>
    <row r="113" spans="1:22" ht="28.5" customHeight="1" x14ac:dyDescent="0.35">
      <c r="A113" s="36" t="s">
        <v>640</v>
      </c>
      <c r="B113" s="66">
        <v>41003694791</v>
      </c>
      <c r="C113" s="66" t="s">
        <v>80</v>
      </c>
      <c r="D113" s="66" t="s">
        <v>641</v>
      </c>
      <c r="E113" s="66" t="s">
        <v>528</v>
      </c>
      <c r="F113" s="66" t="s">
        <v>83</v>
      </c>
      <c r="G113" s="66">
        <v>2000</v>
      </c>
      <c r="H113" s="67"/>
      <c r="I113" s="67" t="s">
        <v>642</v>
      </c>
      <c r="J113" s="68" t="s">
        <v>643</v>
      </c>
      <c r="K113" s="68" t="s">
        <v>644</v>
      </c>
      <c r="L113" s="44"/>
      <c r="M113" s="45"/>
      <c r="N113" s="45"/>
      <c r="O113" s="45"/>
      <c r="P113" s="46"/>
      <c r="Q113" s="47"/>
      <c r="R113" s="48"/>
      <c r="S113" s="48"/>
      <c r="T113" s="48"/>
      <c r="U113" s="48"/>
      <c r="V113" s="49"/>
    </row>
    <row r="114" spans="1:22" ht="28.5" customHeight="1" x14ac:dyDescent="0.35">
      <c r="A114" s="36" t="s">
        <v>645</v>
      </c>
      <c r="B114" s="66">
        <v>84241858723</v>
      </c>
      <c r="C114" s="66" t="s">
        <v>80</v>
      </c>
      <c r="D114" s="66" t="s">
        <v>646</v>
      </c>
      <c r="E114" s="66" t="s">
        <v>132</v>
      </c>
      <c r="F114" s="66" t="s">
        <v>83</v>
      </c>
      <c r="G114" s="66">
        <v>2000</v>
      </c>
      <c r="H114" s="66" t="s">
        <v>647</v>
      </c>
      <c r="I114" s="67" t="s">
        <v>648</v>
      </c>
      <c r="J114" s="68" t="s">
        <v>649</v>
      </c>
      <c r="K114" s="68" t="s">
        <v>650</v>
      </c>
      <c r="L114" s="44"/>
      <c r="M114" s="45"/>
      <c r="N114" s="45"/>
      <c r="O114" s="45"/>
      <c r="P114" s="46"/>
      <c r="Q114" s="47"/>
      <c r="R114" s="48"/>
      <c r="S114" s="48"/>
      <c r="T114" s="48"/>
      <c r="U114" s="48"/>
      <c r="V114" s="49"/>
    </row>
    <row r="115" spans="1:22" ht="28.5" customHeight="1" x14ac:dyDescent="0.35">
      <c r="A115" s="36" t="s">
        <v>651</v>
      </c>
      <c r="B115" s="66">
        <v>15154664052</v>
      </c>
      <c r="C115" s="66" t="s">
        <v>80</v>
      </c>
      <c r="D115" s="66" t="s">
        <v>652</v>
      </c>
      <c r="E115" s="66" t="s">
        <v>132</v>
      </c>
      <c r="F115" s="66" t="s">
        <v>83</v>
      </c>
      <c r="G115" s="66">
        <v>2010</v>
      </c>
      <c r="H115" s="66" t="s">
        <v>653</v>
      </c>
      <c r="I115" s="67" t="s">
        <v>654</v>
      </c>
      <c r="J115" s="68" t="s">
        <v>655</v>
      </c>
      <c r="K115" s="68" t="s">
        <v>656</v>
      </c>
      <c r="L115" s="44"/>
      <c r="M115" s="45"/>
      <c r="N115" s="45"/>
      <c r="O115" s="45"/>
      <c r="P115" s="46"/>
      <c r="Q115" s="47"/>
      <c r="R115" s="48"/>
      <c r="S115" s="48"/>
      <c r="T115" s="48"/>
      <c r="U115" s="48"/>
      <c r="V115" s="49"/>
    </row>
    <row r="116" spans="1:22" ht="28.5" customHeight="1" x14ac:dyDescent="0.35">
      <c r="A116" s="36" t="s">
        <v>657</v>
      </c>
      <c r="B116" s="66">
        <v>65097285124</v>
      </c>
      <c r="C116" s="66" t="s">
        <v>80</v>
      </c>
      <c r="D116" s="66" t="s">
        <v>658</v>
      </c>
      <c r="E116" s="66" t="s">
        <v>90</v>
      </c>
      <c r="F116" s="66" t="s">
        <v>83</v>
      </c>
      <c r="G116" s="66" t="str">
        <f>"2153"</f>
        <v>2153</v>
      </c>
      <c r="H116" s="66" t="str">
        <f>"1300 887 062"</f>
        <v>1300 887 062</v>
      </c>
      <c r="I116" s="66" t="str">
        <f>"0438324436"</f>
        <v>0438324436</v>
      </c>
      <c r="J116" s="68" t="s">
        <v>659</v>
      </c>
      <c r="K116" s="68" t="s">
        <v>660</v>
      </c>
      <c r="L116" s="44"/>
      <c r="M116" s="45"/>
      <c r="N116" s="45"/>
      <c r="O116" s="45"/>
      <c r="P116" s="46"/>
      <c r="Q116" s="47"/>
      <c r="R116" s="48"/>
      <c r="S116" s="48"/>
      <c r="T116" s="48"/>
      <c r="U116" s="48"/>
      <c r="V116" s="49"/>
    </row>
    <row r="117" spans="1:22" ht="28.5" customHeight="1" x14ac:dyDescent="0.35">
      <c r="A117" s="36" t="s">
        <v>661</v>
      </c>
      <c r="B117" s="66">
        <v>43956296359</v>
      </c>
      <c r="C117" s="66" t="s">
        <v>80</v>
      </c>
      <c r="D117" s="66" t="s">
        <v>662</v>
      </c>
      <c r="E117" s="66" t="s">
        <v>90</v>
      </c>
      <c r="F117" s="66" t="s">
        <v>83</v>
      </c>
      <c r="G117" s="66" t="str">
        <f>"2073"</f>
        <v>2073</v>
      </c>
      <c r="H117" s="66"/>
      <c r="I117" s="66" t="str">
        <f>"0428986681"</f>
        <v>0428986681</v>
      </c>
      <c r="J117" s="68" t="s">
        <v>663</v>
      </c>
      <c r="K117" s="68" t="s">
        <v>664</v>
      </c>
      <c r="L117" s="44"/>
      <c r="M117" s="45"/>
      <c r="N117" s="45"/>
      <c r="O117" s="45"/>
      <c r="P117" s="46"/>
      <c r="Q117" s="47"/>
      <c r="R117" s="48"/>
      <c r="S117" s="48"/>
      <c r="T117" s="48"/>
      <c r="U117" s="48"/>
      <c r="V117" s="49"/>
    </row>
    <row r="118" spans="1:22" ht="28.5" customHeight="1" x14ac:dyDescent="0.35">
      <c r="A118" s="72" t="s">
        <v>665</v>
      </c>
      <c r="B118" s="69">
        <v>84127983895</v>
      </c>
      <c r="C118" s="69" t="s">
        <v>80</v>
      </c>
      <c r="D118" s="69" t="s">
        <v>666</v>
      </c>
      <c r="E118" s="69" t="s">
        <v>449</v>
      </c>
      <c r="F118" s="69" t="s">
        <v>83</v>
      </c>
      <c r="G118" s="69">
        <v>2026</v>
      </c>
      <c r="H118" s="69"/>
      <c r="I118" s="67" t="s">
        <v>667</v>
      </c>
      <c r="J118" s="70" t="s">
        <v>668</v>
      </c>
      <c r="K118" s="70" t="s">
        <v>669</v>
      </c>
      <c r="L118" s="44"/>
      <c r="M118" s="45"/>
      <c r="N118" s="45"/>
      <c r="O118" s="45"/>
      <c r="P118" s="46"/>
      <c r="Q118" s="47"/>
      <c r="R118" s="48"/>
      <c r="S118" s="48"/>
      <c r="T118" s="48"/>
      <c r="U118" s="48"/>
      <c r="V118" s="49"/>
    </row>
    <row r="119" spans="1:22" ht="28.5" customHeight="1" x14ac:dyDescent="0.35">
      <c r="A119" s="36" t="s">
        <v>670</v>
      </c>
      <c r="B119" s="66">
        <v>59066881374</v>
      </c>
      <c r="C119" s="66" t="s">
        <v>80</v>
      </c>
      <c r="D119" s="66" t="s">
        <v>671</v>
      </c>
      <c r="E119" s="66" t="s">
        <v>90</v>
      </c>
      <c r="F119" s="66" t="s">
        <v>83</v>
      </c>
      <c r="G119" s="66">
        <v>2009</v>
      </c>
      <c r="H119" s="66" t="s">
        <v>672</v>
      </c>
      <c r="I119" s="67" t="s">
        <v>673</v>
      </c>
      <c r="J119" s="68" t="s">
        <v>674</v>
      </c>
      <c r="K119" s="68" t="s">
        <v>675</v>
      </c>
      <c r="L119" s="44"/>
      <c r="M119" s="45"/>
      <c r="N119" s="45"/>
      <c r="O119" s="45"/>
      <c r="P119" s="46"/>
      <c r="Q119" s="47"/>
      <c r="R119" s="48"/>
      <c r="S119" s="48"/>
      <c r="T119" s="48"/>
      <c r="U119" s="48"/>
      <c r="V119" s="49"/>
    </row>
    <row r="120" spans="1:22" ht="28.5" customHeight="1" x14ac:dyDescent="0.35">
      <c r="A120" s="36" t="s">
        <v>676</v>
      </c>
      <c r="B120" s="66">
        <v>95002025569</v>
      </c>
      <c r="C120" s="66" t="s">
        <v>80</v>
      </c>
      <c r="D120" s="66" t="s">
        <v>677</v>
      </c>
      <c r="E120" s="66" t="s">
        <v>678</v>
      </c>
      <c r="F120" s="66" t="s">
        <v>83</v>
      </c>
      <c r="G120" s="66" t="str">
        <f>"2000"</f>
        <v>2000</v>
      </c>
      <c r="H120" s="66" t="str">
        <f>"02 9963 7711"</f>
        <v>02 9963 7711</v>
      </c>
      <c r="I120" s="67" t="s">
        <v>679</v>
      </c>
      <c r="J120" s="68" t="s">
        <v>680</v>
      </c>
      <c r="K120" s="68" t="s">
        <v>681</v>
      </c>
      <c r="L120" s="44"/>
      <c r="M120" s="45"/>
      <c r="N120" s="45"/>
      <c r="O120" s="45"/>
      <c r="P120" s="46"/>
      <c r="Q120" s="47"/>
      <c r="R120" s="48"/>
      <c r="S120" s="48"/>
      <c r="T120" s="48"/>
      <c r="U120" s="48"/>
      <c r="V120" s="49"/>
    </row>
    <row r="121" spans="1:22" ht="28.5" customHeight="1" x14ac:dyDescent="0.35">
      <c r="A121" s="36" t="s">
        <v>682</v>
      </c>
      <c r="B121" s="66">
        <v>40613936664</v>
      </c>
      <c r="C121" s="66" t="s">
        <v>80</v>
      </c>
      <c r="D121" s="66" t="s">
        <v>683</v>
      </c>
      <c r="E121" s="66" t="s">
        <v>90</v>
      </c>
      <c r="F121" s="66" t="s">
        <v>83</v>
      </c>
      <c r="G121" s="66" t="str">
        <f>"2022"</f>
        <v>2022</v>
      </c>
      <c r="H121" s="66"/>
      <c r="I121" s="66" t="str">
        <f>"0412662308"</f>
        <v>0412662308</v>
      </c>
      <c r="J121" s="68" t="s">
        <v>684</v>
      </c>
      <c r="K121" s="68" t="s">
        <v>685</v>
      </c>
      <c r="L121" s="44"/>
      <c r="M121" s="45"/>
      <c r="N121" s="45"/>
      <c r="O121" s="45"/>
      <c r="P121" s="46"/>
      <c r="Q121" s="47"/>
      <c r="R121" s="48"/>
      <c r="S121" s="48"/>
      <c r="T121" s="48"/>
      <c r="U121" s="48"/>
      <c r="V121" s="49"/>
    </row>
    <row r="122" spans="1:22" ht="28.5" customHeight="1" x14ac:dyDescent="0.35">
      <c r="A122" s="36" t="s">
        <v>686</v>
      </c>
      <c r="B122" s="66">
        <v>86152842718</v>
      </c>
      <c r="C122" s="66" t="s">
        <v>80</v>
      </c>
      <c r="D122" s="66" t="s">
        <v>687</v>
      </c>
      <c r="E122" s="66" t="s">
        <v>152</v>
      </c>
      <c r="F122" s="66" t="s">
        <v>83</v>
      </c>
      <c r="G122" s="66" t="str">
        <f>"2010"</f>
        <v>2010</v>
      </c>
      <c r="H122" s="66" t="str">
        <f>"02 9409 0070"</f>
        <v>02 9409 0070</v>
      </c>
      <c r="I122" s="66" t="str">
        <f>"0404653569"</f>
        <v>0404653569</v>
      </c>
      <c r="J122" s="68" t="s">
        <v>688</v>
      </c>
      <c r="K122" s="68" t="s">
        <v>689</v>
      </c>
      <c r="L122" s="44"/>
      <c r="M122" s="45"/>
      <c r="N122" s="45"/>
      <c r="O122" s="45"/>
      <c r="P122" s="46"/>
      <c r="Q122" s="47"/>
      <c r="R122" s="48"/>
      <c r="S122" s="48"/>
      <c r="T122" s="48"/>
      <c r="U122" s="48"/>
      <c r="V122" s="49"/>
    </row>
    <row r="123" spans="1:22" ht="28.5" customHeight="1" x14ac:dyDescent="0.35">
      <c r="A123" s="36" t="s">
        <v>690</v>
      </c>
      <c r="B123" s="66">
        <v>49067157091</v>
      </c>
      <c r="C123" s="66" t="s">
        <v>80</v>
      </c>
      <c r="D123" s="66" t="s">
        <v>691</v>
      </c>
      <c r="E123" s="66" t="s">
        <v>342</v>
      </c>
      <c r="F123" s="66" t="s">
        <v>83</v>
      </c>
      <c r="G123" s="66" t="str">
        <f>"2000"</f>
        <v>2000</v>
      </c>
      <c r="H123" s="66" t="str">
        <f>"02 9212 2255"</f>
        <v>02 9212 2255</v>
      </c>
      <c r="I123" s="66" t="str">
        <f>"0415981068"</f>
        <v>0415981068</v>
      </c>
      <c r="J123" s="68" t="s">
        <v>692</v>
      </c>
      <c r="K123" s="68" t="s">
        <v>693</v>
      </c>
      <c r="L123" s="44"/>
      <c r="M123" s="45"/>
      <c r="N123" s="45"/>
      <c r="O123" s="45"/>
      <c r="P123" s="46"/>
      <c r="Q123" s="47"/>
      <c r="R123" s="48"/>
      <c r="S123" s="48"/>
      <c r="T123" s="48"/>
      <c r="U123" s="48"/>
      <c r="V123" s="49"/>
    </row>
    <row r="124" spans="1:22" ht="28.5" customHeight="1" x14ac:dyDescent="0.35">
      <c r="A124" s="72" t="s">
        <v>694</v>
      </c>
      <c r="B124" s="69">
        <v>90640874611</v>
      </c>
      <c r="C124" s="69" t="s">
        <v>80</v>
      </c>
      <c r="D124" s="69" t="s">
        <v>695</v>
      </c>
      <c r="E124" s="69" t="s">
        <v>696</v>
      </c>
      <c r="F124" s="69" t="s">
        <v>83</v>
      </c>
      <c r="G124" s="69">
        <v>2100</v>
      </c>
      <c r="H124" s="71" t="s">
        <v>697</v>
      </c>
      <c r="I124" s="71" t="s">
        <v>698</v>
      </c>
      <c r="J124" s="70" t="s">
        <v>699</v>
      </c>
      <c r="K124" s="70" t="s">
        <v>700</v>
      </c>
      <c r="L124" s="44"/>
      <c r="M124" s="45"/>
      <c r="N124" s="45"/>
      <c r="O124" s="45"/>
      <c r="P124" s="46"/>
      <c r="Q124" s="47"/>
      <c r="R124" s="48"/>
      <c r="S124" s="48"/>
      <c r="T124" s="48"/>
      <c r="U124" s="48"/>
      <c r="V124" s="49"/>
    </row>
    <row r="125" spans="1:22" ht="28.5" customHeight="1" x14ac:dyDescent="0.35">
      <c r="A125" s="36" t="s">
        <v>701</v>
      </c>
      <c r="B125" s="66">
        <v>12103086451</v>
      </c>
      <c r="C125" s="66" t="s">
        <v>80</v>
      </c>
      <c r="D125" s="66" t="s">
        <v>702</v>
      </c>
      <c r="E125" s="66" t="s">
        <v>132</v>
      </c>
      <c r="F125" s="66" t="s">
        <v>379</v>
      </c>
      <c r="G125" s="66" t="str">
        <f>"3121"</f>
        <v>3121</v>
      </c>
      <c r="H125" s="66"/>
      <c r="I125" s="66" t="str">
        <f>"0412614568"</f>
        <v>0412614568</v>
      </c>
      <c r="J125" s="68" t="s">
        <v>703</v>
      </c>
      <c r="K125" s="68" t="s">
        <v>704</v>
      </c>
      <c r="L125" s="44"/>
      <c r="M125" s="45"/>
      <c r="N125" s="45"/>
      <c r="O125" s="45"/>
      <c r="P125" s="46"/>
      <c r="Q125" s="47"/>
      <c r="R125" s="48"/>
      <c r="S125" s="48"/>
      <c r="T125" s="48"/>
      <c r="U125" s="48"/>
      <c r="V125" s="49"/>
    </row>
    <row r="126" spans="1:22" ht="28.5" customHeight="1" x14ac:dyDescent="0.35">
      <c r="A126" s="36" t="s">
        <v>705</v>
      </c>
      <c r="B126" s="66">
        <v>14643754278</v>
      </c>
      <c r="C126" s="66" t="s">
        <v>80</v>
      </c>
      <c r="D126" s="66" t="s">
        <v>706</v>
      </c>
      <c r="E126" s="66" t="s">
        <v>132</v>
      </c>
      <c r="F126" s="66" t="s">
        <v>83</v>
      </c>
      <c r="G126" s="66" t="str">
        <f>"2000"</f>
        <v>2000</v>
      </c>
      <c r="H126" s="66"/>
      <c r="I126" s="66" t="str">
        <f>"0405820424"</f>
        <v>0405820424</v>
      </c>
      <c r="J126" s="68" t="s">
        <v>707</v>
      </c>
      <c r="K126" s="68" t="s">
        <v>708</v>
      </c>
      <c r="L126" s="44"/>
      <c r="M126" s="45"/>
      <c r="N126" s="45"/>
      <c r="O126" s="45"/>
      <c r="P126" s="46"/>
      <c r="Q126" s="47"/>
      <c r="R126" s="48"/>
      <c r="S126" s="48"/>
      <c r="T126" s="48"/>
      <c r="U126" s="48"/>
      <c r="V126" s="49"/>
    </row>
    <row r="127" spans="1:22" ht="28.5" customHeight="1" x14ac:dyDescent="0.35">
      <c r="A127" s="36" t="s">
        <v>709</v>
      </c>
      <c r="B127" s="66">
        <v>33100176636</v>
      </c>
      <c r="C127" s="66" t="s">
        <v>80</v>
      </c>
      <c r="D127" s="66" t="s">
        <v>710</v>
      </c>
      <c r="E127" s="66" t="s">
        <v>132</v>
      </c>
      <c r="F127" s="66" t="s">
        <v>83</v>
      </c>
      <c r="G127" s="66">
        <v>2010</v>
      </c>
      <c r="H127" s="66" t="s">
        <v>711</v>
      </c>
      <c r="I127" s="67" t="s">
        <v>712</v>
      </c>
      <c r="J127" s="68" t="s">
        <v>713</v>
      </c>
      <c r="K127" s="68" t="s">
        <v>714</v>
      </c>
      <c r="L127" s="44"/>
      <c r="M127" s="45"/>
      <c r="N127" s="45"/>
      <c r="O127" s="45"/>
      <c r="P127" s="46"/>
      <c r="Q127" s="47" t="s">
        <v>87</v>
      </c>
      <c r="R127" s="48" t="s">
        <v>87</v>
      </c>
      <c r="S127" s="48" t="s">
        <v>87</v>
      </c>
      <c r="T127" s="48" t="s">
        <v>87</v>
      </c>
      <c r="U127" s="48" t="s">
        <v>87</v>
      </c>
      <c r="V127" s="49" t="s">
        <v>87</v>
      </c>
    </row>
    <row r="128" spans="1:22" ht="28.5" customHeight="1" x14ac:dyDescent="0.35">
      <c r="A128" s="36" t="s">
        <v>715</v>
      </c>
      <c r="B128" s="66">
        <v>91182754923</v>
      </c>
      <c r="C128" s="66" t="s">
        <v>80</v>
      </c>
      <c r="D128" s="66" t="s">
        <v>716</v>
      </c>
      <c r="E128" s="66" t="s">
        <v>717</v>
      </c>
      <c r="F128" s="66" t="s">
        <v>83</v>
      </c>
      <c r="G128" s="66" t="str">
        <f>"2122"</f>
        <v>2122</v>
      </c>
      <c r="H128" s="66"/>
      <c r="I128" s="66" t="str">
        <f>"0411258014"</f>
        <v>0411258014</v>
      </c>
      <c r="J128" s="68" t="s">
        <v>718</v>
      </c>
      <c r="K128" s="68" t="s">
        <v>719</v>
      </c>
      <c r="L128" s="44"/>
      <c r="M128" s="45"/>
      <c r="N128" s="45"/>
      <c r="O128" s="45"/>
      <c r="P128" s="46"/>
      <c r="Q128" s="47"/>
      <c r="R128" s="48"/>
      <c r="S128" s="48"/>
      <c r="T128" s="48"/>
      <c r="U128" s="48"/>
      <c r="V128" s="49"/>
    </row>
    <row r="129" spans="1:22" ht="28.5" customHeight="1" x14ac:dyDescent="0.35">
      <c r="A129" s="36" t="s">
        <v>720</v>
      </c>
      <c r="B129" s="66">
        <v>98108292324</v>
      </c>
      <c r="C129" s="66" t="s">
        <v>80</v>
      </c>
      <c r="D129" s="66" t="s">
        <v>721</v>
      </c>
      <c r="E129" s="66" t="s">
        <v>342</v>
      </c>
      <c r="F129" s="66" t="s">
        <v>83</v>
      </c>
      <c r="G129" s="66">
        <v>2560</v>
      </c>
      <c r="H129" s="67" t="s">
        <v>722</v>
      </c>
      <c r="I129" s="67" t="s">
        <v>723</v>
      </c>
      <c r="J129" s="68" t="s">
        <v>724</v>
      </c>
      <c r="K129" s="68" t="s">
        <v>725</v>
      </c>
      <c r="L129" s="44"/>
      <c r="M129" s="45"/>
      <c r="N129" s="45"/>
      <c r="O129" s="45"/>
      <c r="P129" s="46"/>
      <c r="Q129" s="47"/>
      <c r="R129" s="48"/>
      <c r="S129" s="48"/>
      <c r="T129" s="48"/>
      <c r="U129" s="48"/>
      <c r="V129" s="49"/>
    </row>
    <row r="130" spans="1:22" ht="28.5" customHeight="1" x14ac:dyDescent="0.35">
      <c r="A130" s="36" t="s">
        <v>726</v>
      </c>
      <c r="B130" s="66">
        <v>14099809319</v>
      </c>
      <c r="C130" s="66" t="s">
        <v>80</v>
      </c>
      <c r="D130" s="66" t="s">
        <v>727</v>
      </c>
      <c r="E130" s="66" t="s">
        <v>263</v>
      </c>
      <c r="F130" s="66" t="s">
        <v>83</v>
      </c>
      <c r="G130" s="66">
        <v>2009</v>
      </c>
      <c r="H130" s="66"/>
      <c r="I130" s="67" t="s">
        <v>728</v>
      </c>
      <c r="J130" s="68" t="s">
        <v>729</v>
      </c>
      <c r="K130" s="68" t="s">
        <v>730</v>
      </c>
      <c r="L130" s="44"/>
      <c r="M130" s="45"/>
      <c r="N130" s="45"/>
      <c r="O130" s="45"/>
      <c r="P130" s="46"/>
      <c r="Q130" s="47"/>
      <c r="R130" s="48"/>
      <c r="S130" s="48"/>
      <c r="T130" s="48"/>
      <c r="U130" s="48"/>
      <c r="V130" s="49"/>
    </row>
    <row r="131" spans="1:22" ht="28.5" customHeight="1" x14ac:dyDescent="0.35">
      <c r="A131" s="36" t="s">
        <v>731</v>
      </c>
      <c r="B131" s="66">
        <v>45624691872</v>
      </c>
      <c r="C131" s="66" t="s">
        <v>80</v>
      </c>
      <c r="D131" s="66" t="s">
        <v>732</v>
      </c>
      <c r="E131" s="66" t="s">
        <v>90</v>
      </c>
      <c r="F131" s="66" t="s">
        <v>83</v>
      </c>
      <c r="G131" s="66" t="str">
        <f>"2015"</f>
        <v>2015</v>
      </c>
      <c r="H131" s="66" t="str">
        <f>"02 8091 3491"</f>
        <v>02 8091 3491</v>
      </c>
      <c r="I131" s="66" t="str">
        <f>"0437504787"</f>
        <v>0437504787</v>
      </c>
      <c r="J131" s="68" t="s">
        <v>733</v>
      </c>
      <c r="K131" s="68" t="s">
        <v>734</v>
      </c>
      <c r="L131" s="44"/>
      <c r="M131" s="45"/>
      <c r="N131" s="45"/>
      <c r="O131" s="45"/>
      <c r="P131" s="46"/>
      <c r="Q131" s="47"/>
      <c r="R131" s="48"/>
      <c r="S131" s="48"/>
      <c r="T131" s="48"/>
      <c r="U131" s="48"/>
      <c r="V131" s="49"/>
    </row>
    <row r="132" spans="1:22" ht="28.5" customHeight="1" x14ac:dyDescent="0.35">
      <c r="A132" s="36" t="s">
        <v>735</v>
      </c>
      <c r="B132" s="66">
        <v>80883821452</v>
      </c>
      <c r="C132" s="66" t="s">
        <v>80</v>
      </c>
      <c r="D132" s="66" t="s">
        <v>736</v>
      </c>
      <c r="E132" s="66" t="s">
        <v>90</v>
      </c>
      <c r="F132" s="66" t="s">
        <v>83</v>
      </c>
      <c r="G132" s="66" t="str">
        <f>"2060"</f>
        <v>2060</v>
      </c>
      <c r="H132" s="66" t="str">
        <f>"02 9279 0022"</f>
        <v>02 9279 0022</v>
      </c>
      <c r="I132" s="66" t="str">
        <f>"0418419128"</f>
        <v>0418419128</v>
      </c>
      <c r="J132" s="68" t="s">
        <v>737</v>
      </c>
      <c r="K132" s="68" t="s">
        <v>738</v>
      </c>
      <c r="L132" s="44"/>
      <c r="M132" s="45"/>
      <c r="N132" s="45"/>
      <c r="O132" s="45"/>
      <c r="P132" s="46"/>
      <c r="Q132" s="47"/>
      <c r="R132" s="48"/>
      <c r="S132" s="48"/>
      <c r="T132" s="48"/>
      <c r="U132" s="48"/>
      <c r="V132" s="49"/>
    </row>
    <row r="133" spans="1:22" ht="28.5" customHeight="1" x14ac:dyDescent="0.35">
      <c r="A133" s="36" t="s">
        <v>739</v>
      </c>
      <c r="B133" s="66">
        <v>89409351674</v>
      </c>
      <c r="C133" s="66" t="s">
        <v>87</v>
      </c>
      <c r="D133" s="66" t="s">
        <v>740</v>
      </c>
      <c r="E133" s="66" t="s">
        <v>152</v>
      </c>
      <c r="F133" s="66" t="s">
        <v>83</v>
      </c>
      <c r="G133" s="66">
        <v>2204</v>
      </c>
      <c r="H133" s="66"/>
      <c r="I133" s="67" t="s">
        <v>741</v>
      </c>
      <c r="J133" s="68" t="s">
        <v>742</v>
      </c>
      <c r="K133" s="68" t="s">
        <v>743</v>
      </c>
      <c r="L133" s="44"/>
      <c r="M133" s="45"/>
      <c r="N133" s="45"/>
      <c r="O133" s="45"/>
      <c r="P133" s="46" t="s">
        <v>87</v>
      </c>
      <c r="Q133" s="47"/>
      <c r="R133" s="48"/>
      <c r="S133" s="48"/>
      <c r="T133" s="48"/>
      <c r="U133" s="48"/>
      <c r="V133" s="49"/>
    </row>
    <row r="134" spans="1:22" ht="28.5" customHeight="1" x14ac:dyDescent="0.35">
      <c r="A134" s="36" t="s">
        <v>744</v>
      </c>
      <c r="B134" s="66">
        <v>83145666995</v>
      </c>
      <c r="C134" s="66" t="s">
        <v>80</v>
      </c>
      <c r="D134" s="66" t="s">
        <v>745</v>
      </c>
      <c r="E134" s="66" t="s">
        <v>132</v>
      </c>
      <c r="F134" s="66" t="s">
        <v>83</v>
      </c>
      <c r="G134" s="66">
        <v>2015</v>
      </c>
      <c r="H134" s="66" t="s">
        <v>746</v>
      </c>
      <c r="I134" s="67" t="s">
        <v>747</v>
      </c>
      <c r="J134" s="68" t="s">
        <v>748</v>
      </c>
      <c r="K134" s="68" t="s">
        <v>749</v>
      </c>
      <c r="L134" s="44"/>
      <c r="M134" s="45"/>
      <c r="N134" s="45"/>
      <c r="O134" s="45"/>
      <c r="P134" s="46"/>
      <c r="Q134" s="47"/>
      <c r="R134" s="48"/>
      <c r="S134" s="48"/>
      <c r="T134" s="48"/>
      <c r="U134" s="48"/>
      <c r="V134" s="49"/>
    </row>
    <row r="135" spans="1:22" ht="28.5" customHeight="1" x14ac:dyDescent="0.35">
      <c r="A135" s="36" t="s">
        <v>750</v>
      </c>
      <c r="B135" s="66" t="s">
        <v>751</v>
      </c>
      <c r="C135" s="66" t="s">
        <v>80</v>
      </c>
      <c r="D135" s="66" t="s">
        <v>752</v>
      </c>
      <c r="E135" s="66" t="s">
        <v>132</v>
      </c>
      <c r="F135" s="66" t="s">
        <v>753</v>
      </c>
      <c r="G135" s="66">
        <v>5000</v>
      </c>
      <c r="H135" s="67" t="s">
        <v>754</v>
      </c>
      <c r="I135" s="67"/>
      <c r="J135" s="68" t="s">
        <v>755</v>
      </c>
      <c r="K135" s="68" t="s">
        <v>756</v>
      </c>
      <c r="L135" s="44"/>
      <c r="M135" s="45"/>
      <c r="N135" s="45"/>
      <c r="O135" s="45"/>
      <c r="P135" s="46"/>
      <c r="Q135" s="47"/>
      <c r="R135" s="48"/>
      <c r="S135" s="48"/>
      <c r="T135" s="48"/>
      <c r="U135" s="48"/>
      <c r="V135" s="49"/>
    </row>
    <row r="136" spans="1:22" ht="28.5" customHeight="1" x14ac:dyDescent="0.35">
      <c r="A136" s="36" t="s">
        <v>757</v>
      </c>
      <c r="B136" s="66">
        <v>52058064412</v>
      </c>
      <c r="C136" s="66" t="s">
        <v>80</v>
      </c>
      <c r="D136" s="66" t="s">
        <v>758</v>
      </c>
      <c r="E136" s="66" t="s">
        <v>90</v>
      </c>
      <c r="F136" s="66" t="s">
        <v>83</v>
      </c>
      <c r="G136" s="66" t="str">
        <f>"2042"</f>
        <v>2042</v>
      </c>
      <c r="H136" s="66" t="str">
        <f>"02 9519 4392"</f>
        <v>02 9519 4392</v>
      </c>
      <c r="I136" s="66" t="str">
        <f>"0412046461"</f>
        <v>0412046461</v>
      </c>
      <c r="J136" s="68" t="s">
        <v>759</v>
      </c>
      <c r="K136" s="68" t="s">
        <v>760</v>
      </c>
      <c r="L136" s="44"/>
      <c r="M136" s="45"/>
      <c r="N136" s="45"/>
      <c r="O136" s="45"/>
      <c r="P136" s="46"/>
      <c r="Q136" s="47"/>
      <c r="R136" s="48"/>
      <c r="S136" s="48"/>
      <c r="T136" s="48"/>
      <c r="U136" s="48"/>
      <c r="V136" s="49"/>
    </row>
    <row r="137" spans="1:22" ht="28.5" customHeight="1" x14ac:dyDescent="0.35">
      <c r="A137" s="36" t="s">
        <v>761</v>
      </c>
      <c r="B137" s="66">
        <v>72621858160</v>
      </c>
      <c r="C137" s="66" t="s">
        <v>80</v>
      </c>
      <c r="D137" s="66" t="s">
        <v>762</v>
      </c>
      <c r="E137" s="66" t="s">
        <v>132</v>
      </c>
      <c r="F137" s="66" t="s">
        <v>83</v>
      </c>
      <c r="G137" s="66" t="str">
        <f>"2008"</f>
        <v>2008</v>
      </c>
      <c r="H137" s="66"/>
      <c r="I137" s="66" t="str">
        <f>"0431574105"</f>
        <v>0431574105</v>
      </c>
      <c r="J137" s="68" t="s">
        <v>763</v>
      </c>
      <c r="K137" s="68" t="s">
        <v>764</v>
      </c>
      <c r="L137" s="44"/>
      <c r="M137" s="45"/>
      <c r="N137" s="45"/>
      <c r="O137" s="45"/>
      <c r="P137" s="46"/>
      <c r="Q137" s="47"/>
      <c r="R137" s="48"/>
      <c r="S137" s="48"/>
      <c r="T137" s="48"/>
      <c r="U137" s="48"/>
      <c r="V137" s="49"/>
    </row>
    <row r="138" spans="1:22" ht="28.5" customHeight="1" x14ac:dyDescent="0.35">
      <c r="A138" s="36" t="s">
        <v>765</v>
      </c>
      <c r="B138" s="66">
        <v>27122581668</v>
      </c>
      <c r="C138" s="66" t="s">
        <v>80</v>
      </c>
      <c r="D138" s="66" t="s">
        <v>766</v>
      </c>
      <c r="E138" s="66" t="s">
        <v>476</v>
      </c>
      <c r="F138" s="66" t="s">
        <v>83</v>
      </c>
      <c r="G138" s="66">
        <v>2093</v>
      </c>
      <c r="H138" s="67"/>
      <c r="I138" s="67" t="s">
        <v>767</v>
      </c>
      <c r="J138" s="68" t="s">
        <v>768</v>
      </c>
      <c r="K138" s="68" t="s">
        <v>769</v>
      </c>
      <c r="L138" s="44"/>
      <c r="M138" s="45"/>
      <c r="N138" s="45"/>
      <c r="O138" s="45"/>
      <c r="P138" s="46"/>
      <c r="Q138" s="47"/>
      <c r="R138" s="48"/>
      <c r="S138" s="48"/>
      <c r="T138" s="48"/>
      <c r="U138" s="48"/>
      <c r="V138" s="49"/>
    </row>
    <row r="139" spans="1:22" ht="28.5" customHeight="1" x14ac:dyDescent="0.35">
      <c r="A139" s="36" t="s">
        <v>770</v>
      </c>
      <c r="B139" s="66">
        <v>58000205210</v>
      </c>
      <c r="C139" s="66" t="s">
        <v>80</v>
      </c>
      <c r="D139" s="66" t="s">
        <v>771</v>
      </c>
      <c r="E139" s="66" t="s">
        <v>772</v>
      </c>
      <c r="F139" s="66" t="s">
        <v>83</v>
      </c>
      <c r="G139" s="66">
        <v>2000</v>
      </c>
      <c r="H139" s="67" t="s">
        <v>773</v>
      </c>
      <c r="I139" s="67" t="s">
        <v>774</v>
      </c>
      <c r="J139" s="68" t="s">
        <v>775</v>
      </c>
      <c r="K139" s="68" t="s">
        <v>776</v>
      </c>
      <c r="L139" s="44"/>
      <c r="M139" s="45"/>
      <c r="N139" s="45"/>
      <c r="O139" s="45"/>
      <c r="P139" s="46"/>
      <c r="Q139" s="47"/>
      <c r="R139" s="48"/>
      <c r="S139" s="48"/>
      <c r="T139" s="48"/>
      <c r="U139" s="48"/>
      <c r="V139" s="49"/>
    </row>
    <row r="140" spans="1:22" ht="28.5" customHeight="1" x14ac:dyDescent="0.35">
      <c r="A140" s="36" t="s">
        <v>777</v>
      </c>
      <c r="B140" s="66">
        <v>84149940938</v>
      </c>
      <c r="C140" s="66" t="s">
        <v>80</v>
      </c>
      <c r="D140" s="66" t="s">
        <v>778</v>
      </c>
      <c r="E140" s="66" t="s">
        <v>779</v>
      </c>
      <c r="F140" s="66" t="s">
        <v>83</v>
      </c>
      <c r="G140" s="66" t="str">
        <f>"2000"</f>
        <v>2000</v>
      </c>
      <c r="H140" s="66" t="str">
        <f>"02 9363 3188"</f>
        <v>02 9363 3188</v>
      </c>
      <c r="I140" s="66" t="str">
        <f>"0416106913"</f>
        <v>0416106913</v>
      </c>
      <c r="J140" s="68" t="s">
        <v>780</v>
      </c>
      <c r="K140" s="68" t="s">
        <v>781</v>
      </c>
      <c r="L140" s="44"/>
      <c r="M140" s="45"/>
      <c r="N140" s="45"/>
      <c r="O140" s="45"/>
      <c r="P140" s="46"/>
      <c r="Q140" s="47"/>
      <c r="R140" s="48"/>
      <c r="S140" s="48"/>
      <c r="T140" s="48"/>
      <c r="U140" s="48"/>
      <c r="V140" s="49"/>
    </row>
    <row r="141" spans="1:22" ht="28.5" customHeight="1" x14ac:dyDescent="0.35">
      <c r="A141" s="36" t="s">
        <v>782</v>
      </c>
      <c r="B141" s="66">
        <v>82061249509</v>
      </c>
      <c r="C141" s="66" t="s">
        <v>80</v>
      </c>
      <c r="D141" s="66" t="s">
        <v>783</v>
      </c>
      <c r="E141" s="66" t="s">
        <v>292</v>
      </c>
      <c r="F141" s="66" t="s">
        <v>83</v>
      </c>
      <c r="G141" s="66" t="str">
        <f>"2137"</f>
        <v>2137</v>
      </c>
      <c r="H141" s="66" t="str">
        <f>"02 9736 3777"</f>
        <v>02 9736 3777</v>
      </c>
      <c r="I141" s="66" t="str">
        <f>"0418177704"</f>
        <v>0418177704</v>
      </c>
      <c r="J141" s="68" t="s">
        <v>784</v>
      </c>
      <c r="K141" s="68" t="s">
        <v>785</v>
      </c>
      <c r="L141" s="44"/>
      <c r="M141" s="45"/>
      <c r="N141" s="45"/>
      <c r="O141" s="45"/>
      <c r="P141" s="46"/>
      <c r="Q141" s="47"/>
      <c r="R141" s="48"/>
      <c r="S141" s="48"/>
      <c r="T141" s="48"/>
      <c r="U141" s="48"/>
      <c r="V141" s="49"/>
    </row>
    <row r="142" spans="1:22" s="2" customFormat="1" ht="28.5" customHeight="1" x14ac:dyDescent="0.35">
      <c r="A142" s="36" t="s">
        <v>786</v>
      </c>
      <c r="B142" s="66">
        <v>21642701666</v>
      </c>
      <c r="C142" s="66" t="s">
        <v>80</v>
      </c>
      <c r="D142" s="66" t="s">
        <v>787</v>
      </c>
      <c r="E142" s="66" t="s">
        <v>90</v>
      </c>
      <c r="F142" s="66" t="s">
        <v>115</v>
      </c>
      <c r="G142" s="66">
        <v>4221</v>
      </c>
      <c r="H142" s="67"/>
      <c r="I142" s="67" t="s">
        <v>788</v>
      </c>
      <c r="J142" s="68" t="s">
        <v>789</v>
      </c>
      <c r="K142" s="68" t="s">
        <v>790</v>
      </c>
      <c r="L142" s="44"/>
      <c r="M142" s="45"/>
      <c r="N142" s="45"/>
      <c r="O142" s="45"/>
      <c r="P142" s="46"/>
      <c r="Q142" s="47"/>
      <c r="R142" s="48"/>
      <c r="S142" s="48"/>
      <c r="T142" s="48"/>
      <c r="U142" s="48"/>
      <c r="V142" s="49"/>
    </row>
    <row r="143" spans="1:22" s="64" customFormat="1" ht="28.5" customHeight="1" x14ac:dyDescent="0.35">
      <c r="A143" s="36" t="s">
        <v>791</v>
      </c>
      <c r="B143" s="66">
        <v>70120236884</v>
      </c>
      <c r="C143" s="66" t="s">
        <v>80</v>
      </c>
      <c r="D143" s="66" t="s">
        <v>792</v>
      </c>
      <c r="E143" s="66" t="s">
        <v>90</v>
      </c>
      <c r="F143" s="66" t="s">
        <v>83</v>
      </c>
      <c r="G143" s="66" t="str">
        <f>"2050"</f>
        <v>2050</v>
      </c>
      <c r="H143" s="66" t="str">
        <f>"02 9555 6115"</f>
        <v>02 9555 6115</v>
      </c>
      <c r="I143" s="66" t="str">
        <f>"0404495947"</f>
        <v>0404495947</v>
      </c>
      <c r="J143" s="68" t="s">
        <v>793</v>
      </c>
      <c r="K143" s="68" t="s">
        <v>794</v>
      </c>
      <c r="L143" s="44"/>
      <c r="M143" s="45"/>
      <c r="N143" s="45"/>
      <c r="O143" s="45"/>
      <c r="P143" s="46"/>
      <c r="Q143" s="47"/>
      <c r="R143" s="48"/>
      <c r="S143" s="48"/>
      <c r="T143" s="48"/>
      <c r="U143" s="48"/>
      <c r="V143" s="49"/>
    </row>
    <row r="144" spans="1:22" ht="28.5" customHeight="1" x14ac:dyDescent="0.35">
      <c r="A144" s="36" t="s">
        <v>795</v>
      </c>
      <c r="B144" s="66">
        <v>57869738375</v>
      </c>
      <c r="C144" s="66" t="s">
        <v>80</v>
      </c>
      <c r="D144" s="66" t="s">
        <v>796</v>
      </c>
      <c r="E144" s="66" t="s">
        <v>90</v>
      </c>
      <c r="F144" s="66" t="s">
        <v>379</v>
      </c>
      <c r="G144" s="66" t="str">
        <f>"3205"</f>
        <v>3205</v>
      </c>
      <c r="H144" s="66" t="str">
        <f>"1300 191 950"</f>
        <v>1300 191 950</v>
      </c>
      <c r="I144" s="66" t="str">
        <f>"0413917113"</f>
        <v>0413917113</v>
      </c>
      <c r="J144" s="68" t="s">
        <v>797</v>
      </c>
      <c r="K144" s="68" t="s">
        <v>798</v>
      </c>
      <c r="L144" s="44"/>
      <c r="M144" s="45"/>
      <c r="N144" s="45"/>
      <c r="O144" s="45"/>
      <c r="P144" s="46"/>
      <c r="Q144" s="47"/>
      <c r="R144" s="48"/>
      <c r="S144" s="48"/>
      <c r="T144" s="48"/>
      <c r="U144" s="48"/>
      <c r="V144" s="49"/>
    </row>
    <row r="145" spans="1:22" ht="28.5" customHeight="1" x14ac:dyDescent="0.35">
      <c r="A145" s="36" t="s">
        <v>799</v>
      </c>
      <c r="B145" s="66">
        <v>60003687581</v>
      </c>
      <c r="C145" s="66" t="s">
        <v>80</v>
      </c>
      <c r="D145" s="66" t="s">
        <v>800</v>
      </c>
      <c r="E145" s="66" t="s">
        <v>801</v>
      </c>
      <c r="F145" s="66" t="s">
        <v>83</v>
      </c>
      <c r="G145" s="66" t="str">
        <f>"2000"</f>
        <v>2000</v>
      </c>
      <c r="H145" s="66" t="str">
        <f>"02 9955 5040"</f>
        <v>02 9955 5040</v>
      </c>
      <c r="I145" s="66" t="str">
        <f>"0433886075"</f>
        <v>0433886075</v>
      </c>
      <c r="J145" s="68" t="s">
        <v>802</v>
      </c>
      <c r="K145" s="68" t="s">
        <v>803</v>
      </c>
      <c r="L145" s="44"/>
      <c r="M145" s="45"/>
      <c r="N145" s="45"/>
      <c r="O145" s="45"/>
      <c r="P145" s="46"/>
      <c r="Q145" s="47"/>
      <c r="R145" s="48"/>
      <c r="S145" s="48"/>
      <c r="T145" s="48"/>
      <c r="U145" s="48"/>
      <c r="V145" s="49"/>
    </row>
    <row r="146" spans="1:22" ht="28.5" customHeight="1" x14ac:dyDescent="0.35">
      <c r="A146" s="36" t="s">
        <v>804</v>
      </c>
      <c r="B146" s="66">
        <v>61197928583</v>
      </c>
      <c r="C146" s="66" t="s">
        <v>80</v>
      </c>
      <c r="D146" s="66" t="s">
        <v>805</v>
      </c>
      <c r="E146" s="66" t="s">
        <v>90</v>
      </c>
      <c r="F146" s="66" t="s">
        <v>83</v>
      </c>
      <c r="G146" s="66" t="str">
        <f>"2087"</f>
        <v>2087</v>
      </c>
      <c r="H146" s="66" t="str">
        <f>"02 9975 5075"</f>
        <v>02 9975 5075</v>
      </c>
      <c r="I146" s="66" t="str">
        <f>"0404032330"</f>
        <v>0404032330</v>
      </c>
      <c r="J146" s="68" t="s">
        <v>806</v>
      </c>
      <c r="K146" s="68" t="s">
        <v>807</v>
      </c>
      <c r="L146" s="44"/>
      <c r="M146" s="45"/>
      <c r="N146" s="45"/>
      <c r="O146" s="45"/>
      <c r="P146" s="46"/>
      <c r="Q146" s="47"/>
      <c r="R146" s="48"/>
      <c r="S146" s="48"/>
      <c r="T146" s="48"/>
      <c r="U146" s="48"/>
      <c r="V146" s="49"/>
    </row>
    <row r="147" spans="1:22" ht="28.5" customHeight="1" x14ac:dyDescent="0.35">
      <c r="A147" s="36" t="s">
        <v>808</v>
      </c>
      <c r="B147" s="66">
        <v>14627495596</v>
      </c>
      <c r="C147" s="66" t="s">
        <v>80</v>
      </c>
      <c r="D147" s="66" t="s">
        <v>809</v>
      </c>
      <c r="E147" s="66" t="s">
        <v>522</v>
      </c>
      <c r="F147" s="66" t="s">
        <v>83</v>
      </c>
      <c r="G147" s="66" t="str">
        <f>"2066"</f>
        <v>2066</v>
      </c>
      <c r="H147" s="66" t="str">
        <f>"0413816660"</f>
        <v>0413816660</v>
      </c>
      <c r="I147" s="66" t="str">
        <f>"0419578804"</f>
        <v>0419578804</v>
      </c>
      <c r="J147" s="68" t="s">
        <v>810</v>
      </c>
      <c r="K147" s="68" t="s">
        <v>811</v>
      </c>
      <c r="L147" s="44"/>
      <c r="M147" s="45"/>
      <c r="N147" s="45"/>
      <c r="O147" s="45"/>
      <c r="P147" s="46"/>
      <c r="Q147" s="47"/>
      <c r="R147" s="48"/>
      <c r="S147" s="48"/>
      <c r="T147" s="48"/>
      <c r="U147" s="48"/>
      <c r="V147" s="49"/>
    </row>
    <row r="148" spans="1:22" ht="28.5" customHeight="1" x14ac:dyDescent="0.35">
      <c r="A148" s="36" t="s">
        <v>812</v>
      </c>
      <c r="B148" s="66">
        <v>89637757807</v>
      </c>
      <c r="C148" s="66" t="s">
        <v>80</v>
      </c>
      <c r="D148" s="66" t="s">
        <v>813</v>
      </c>
      <c r="E148" s="66" t="s">
        <v>342</v>
      </c>
      <c r="F148" s="66" t="s">
        <v>83</v>
      </c>
      <c r="G148" s="66">
        <v>2481</v>
      </c>
      <c r="H148" s="66"/>
      <c r="I148" s="67" t="s">
        <v>814</v>
      </c>
      <c r="J148" s="68" t="s">
        <v>815</v>
      </c>
      <c r="K148" s="68" t="s">
        <v>816</v>
      </c>
      <c r="L148" s="44"/>
      <c r="M148" s="45"/>
      <c r="N148" s="45"/>
      <c r="O148" s="45"/>
      <c r="P148" s="46"/>
      <c r="Q148" s="47"/>
      <c r="R148" s="48"/>
      <c r="S148" s="48"/>
      <c r="T148" s="48"/>
      <c r="U148" s="48"/>
      <c r="V148" s="49"/>
    </row>
    <row r="149" spans="1:22" ht="28.5" customHeight="1" x14ac:dyDescent="0.35">
      <c r="A149" s="36" t="s">
        <v>817</v>
      </c>
      <c r="B149" s="66">
        <v>47646980225</v>
      </c>
      <c r="C149" s="66" t="s">
        <v>80</v>
      </c>
      <c r="D149" s="66" t="s">
        <v>818</v>
      </c>
      <c r="E149" s="66" t="s">
        <v>90</v>
      </c>
      <c r="F149" s="66" t="s">
        <v>83</v>
      </c>
      <c r="G149" s="66">
        <v>2060</v>
      </c>
      <c r="H149" s="66" t="str">
        <f>"02 9482 4408"</f>
        <v>02 9482 4408</v>
      </c>
      <c r="I149" s="66" t="str">
        <f>"0466630624"</f>
        <v>0466630624</v>
      </c>
      <c r="J149" s="68" t="s">
        <v>819</v>
      </c>
      <c r="K149" s="68" t="s">
        <v>820</v>
      </c>
      <c r="L149" s="44"/>
      <c r="M149" s="45"/>
      <c r="N149" s="45"/>
      <c r="O149" s="45"/>
      <c r="P149" s="46"/>
      <c r="Q149" s="47"/>
      <c r="R149" s="48"/>
      <c r="S149" s="48"/>
      <c r="T149" s="48"/>
      <c r="U149" s="48"/>
      <c r="V149" s="49"/>
    </row>
    <row r="150" spans="1:22" ht="28.5" customHeight="1" x14ac:dyDescent="0.35">
      <c r="A150" s="36" t="s">
        <v>821</v>
      </c>
      <c r="B150" s="66">
        <v>49144475641</v>
      </c>
      <c r="C150" s="66" t="s">
        <v>80</v>
      </c>
      <c r="D150" s="66" t="s">
        <v>822</v>
      </c>
      <c r="E150" s="66" t="s">
        <v>823</v>
      </c>
      <c r="F150" s="66" t="s">
        <v>83</v>
      </c>
      <c r="G150" s="66">
        <v>2060</v>
      </c>
      <c r="H150" s="67" t="s">
        <v>824</v>
      </c>
      <c r="I150" s="67" t="s">
        <v>825</v>
      </c>
      <c r="J150" s="68" t="s">
        <v>826</v>
      </c>
      <c r="K150" s="68" t="s">
        <v>827</v>
      </c>
      <c r="L150" s="44"/>
      <c r="M150" s="45"/>
      <c r="N150" s="45"/>
      <c r="O150" s="45"/>
      <c r="P150" s="46"/>
      <c r="Q150" s="47"/>
      <c r="R150" s="48"/>
      <c r="S150" s="48"/>
      <c r="T150" s="48"/>
      <c r="U150" s="48"/>
      <c r="V150" s="49"/>
    </row>
    <row r="151" spans="1:22" ht="28.5" customHeight="1" x14ac:dyDescent="0.35">
      <c r="A151" s="36" t="s">
        <v>828</v>
      </c>
      <c r="B151" s="66">
        <v>91069288017</v>
      </c>
      <c r="C151" s="66" t="s">
        <v>80</v>
      </c>
      <c r="D151" s="66" t="s">
        <v>829</v>
      </c>
      <c r="E151" s="66" t="s">
        <v>90</v>
      </c>
      <c r="F151" s="66" t="s">
        <v>83</v>
      </c>
      <c r="G151" s="66">
        <v>2089</v>
      </c>
      <c r="H151" s="66" t="s">
        <v>830</v>
      </c>
      <c r="I151" s="67" t="s">
        <v>831</v>
      </c>
      <c r="J151" s="68" t="s">
        <v>832</v>
      </c>
      <c r="K151" s="68" t="s">
        <v>833</v>
      </c>
      <c r="L151" s="44"/>
      <c r="M151" s="45"/>
      <c r="N151" s="45"/>
      <c r="O151" s="45"/>
      <c r="P151" s="46"/>
      <c r="Q151" s="47"/>
      <c r="R151" s="48"/>
      <c r="S151" s="48"/>
      <c r="T151" s="48"/>
      <c r="U151" s="48"/>
      <c r="V151" s="49"/>
    </row>
    <row r="152" spans="1:22" ht="28.5" customHeight="1" x14ac:dyDescent="0.35">
      <c r="A152" s="36" t="s">
        <v>834</v>
      </c>
      <c r="B152" s="66">
        <v>66142268451</v>
      </c>
      <c r="C152" s="66" t="s">
        <v>80</v>
      </c>
      <c r="D152" s="66" t="s">
        <v>835</v>
      </c>
      <c r="E152" s="66" t="s">
        <v>90</v>
      </c>
      <c r="F152" s="66" t="s">
        <v>83</v>
      </c>
      <c r="G152" s="66" t="str">
        <f>"2100"</f>
        <v>2100</v>
      </c>
      <c r="H152" s="66"/>
      <c r="I152" s="66" t="str">
        <f>"0422291734"</f>
        <v>0422291734</v>
      </c>
      <c r="J152" s="68" t="s">
        <v>836</v>
      </c>
      <c r="K152" s="68" t="s">
        <v>837</v>
      </c>
      <c r="L152" s="44"/>
      <c r="M152" s="45"/>
      <c r="N152" s="45"/>
      <c r="O152" s="45"/>
      <c r="P152" s="46"/>
      <c r="Q152" s="47"/>
      <c r="R152" s="48"/>
      <c r="S152" s="48"/>
      <c r="T152" s="48"/>
      <c r="U152" s="48"/>
      <c r="V152" s="49"/>
    </row>
    <row r="153" spans="1:22" ht="28.5" customHeight="1" x14ac:dyDescent="0.35">
      <c r="A153" s="36" t="s">
        <v>838</v>
      </c>
      <c r="B153" s="66">
        <v>40001786858</v>
      </c>
      <c r="C153" s="66" t="s">
        <v>80</v>
      </c>
      <c r="D153" s="66" t="s">
        <v>839</v>
      </c>
      <c r="E153" s="66" t="s">
        <v>840</v>
      </c>
      <c r="F153" s="66" t="s">
        <v>83</v>
      </c>
      <c r="G153" s="66">
        <v>2009</v>
      </c>
      <c r="H153" s="67" t="s">
        <v>841</v>
      </c>
      <c r="I153" s="67" t="s">
        <v>842</v>
      </c>
      <c r="J153" s="68" t="s">
        <v>843</v>
      </c>
      <c r="K153" s="68" t="s">
        <v>844</v>
      </c>
      <c r="L153" s="44"/>
      <c r="M153" s="45"/>
      <c r="N153" s="45"/>
      <c r="O153" s="45"/>
      <c r="P153" s="46"/>
      <c r="Q153" s="47"/>
      <c r="R153" s="48"/>
      <c r="S153" s="48"/>
      <c r="T153" s="48"/>
      <c r="U153" s="48"/>
      <c r="V153" s="49"/>
    </row>
    <row r="154" spans="1:22" ht="28.5" customHeight="1" x14ac:dyDescent="0.35">
      <c r="A154" s="36" t="s">
        <v>845</v>
      </c>
      <c r="B154" s="66">
        <v>66632431862</v>
      </c>
      <c r="C154" s="66" t="s">
        <v>80</v>
      </c>
      <c r="D154" s="66" t="s">
        <v>846</v>
      </c>
      <c r="E154" s="66" t="s">
        <v>90</v>
      </c>
      <c r="F154" s="66" t="s">
        <v>83</v>
      </c>
      <c r="G154" s="66" t="str">
        <f>"2250"</f>
        <v>2250</v>
      </c>
      <c r="H154" s="66" t="str">
        <f>"02 9064 1768"</f>
        <v>02 9064 1768</v>
      </c>
      <c r="I154" s="66" t="str">
        <f>""</f>
        <v/>
      </c>
      <c r="J154" s="68" t="s">
        <v>847</v>
      </c>
      <c r="K154" s="68" t="s">
        <v>848</v>
      </c>
      <c r="L154" s="44"/>
      <c r="M154" s="45"/>
      <c r="N154" s="45"/>
      <c r="O154" s="45"/>
      <c r="P154" s="46"/>
      <c r="Q154" s="47"/>
      <c r="R154" s="48"/>
      <c r="S154" s="48"/>
      <c r="T154" s="48"/>
      <c r="U154" s="48"/>
      <c r="V154" s="49"/>
    </row>
    <row r="155" spans="1:22" ht="28.5" customHeight="1" x14ac:dyDescent="0.35">
      <c r="A155" s="36" t="s">
        <v>849</v>
      </c>
      <c r="B155" s="66">
        <v>92575377609</v>
      </c>
      <c r="C155" s="66" t="s">
        <v>80</v>
      </c>
      <c r="D155" s="66" t="s">
        <v>850</v>
      </c>
      <c r="E155" s="66" t="s">
        <v>139</v>
      </c>
      <c r="F155" s="66" t="s">
        <v>83</v>
      </c>
      <c r="G155" s="66" t="str">
        <f>"2305"</f>
        <v>2305</v>
      </c>
      <c r="H155" s="66" t="str">
        <f>"02 4969 1931"</f>
        <v>02 4969 1931</v>
      </c>
      <c r="I155" s="66" t="str">
        <f>"0418691299"</f>
        <v>0418691299</v>
      </c>
      <c r="J155" s="68" t="s">
        <v>851</v>
      </c>
      <c r="K155" s="68" t="s">
        <v>852</v>
      </c>
      <c r="L155" s="44"/>
      <c r="M155" s="45"/>
      <c r="N155" s="45"/>
      <c r="O155" s="45"/>
      <c r="P155" s="46"/>
      <c r="Q155" s="47"/>
      <c r="R155" s="48"/>
      <c r="S155" s="48"/>
      <c r="T155" s="48"/>
      <c r="U155" s="48"/>
      <c r="V155" s="49"/>
    </row>
    <row r="156" spans="1:22" ht="28.5" customHeight="1" x14ac:dyDescent="0.35">
      <c r="A156" s="36" t="s">
        <v>853</v>
      </c>
      <c r="B156" s="66">
        <v>18106153511</v>
      </c>
      <c r="C156" s="66" t="s">
        <v>80</v>
      </c>
      <c r="D156" s="66" t="s">
        <v>854</v>
      </c>
      <c r="E156" s="66" t="s">
        <v>335</v>
      </c>
      <c r="F156" s="66" t="s">
        <v>83</v>
      </c>
      <c r="G156" s="66" t="str">
        <f>"2022"</f>
        <v>2022</v>
      </c>
      <c r="H156" s="66" t="str">
        <f>"02 8302 4200"</f>
        <v>02 8302 4200</v>
      </c>
      <c r="I156" s="67" t="s">
        <v>855</v>
      </c>
      <c r="J156" s="68" t="s">
        <v>856</v>
      </c>
      <c r="K156" s="68" t="s">
        <v>857</v>
      </c>
      <c r="L156" s="44"/>
      <c r="M156" s="45"/>
      <c r="N156" s="45"/>
      <c r="O156" s="45"/>
      <c r="P156" s="46"/>
      <c r="Q156" s="47"/>
      <c r="R156" s="48"/>
      <c r="S156" s="48"/>
      <c r="T156" s="48"/>
      <c r="U156" s="48"/>
      <c r="V156" s="49"/>
    </row>
    <row r="157" spans="1:22" ht="28.5" customHeight="1" x14ac:dyDescent="0.35">
      <c r="A157" s="36" t="s">
        <v>858</v>
      </c>
      <c r="B157" s="66">
        <v>98003477567</v>
      </c>
      <c r="C157" s="66" t="s">
        <v>80</v>
      </c>
      <c r="D157" s="66" t="s">
        <v>859</v>
      </c>
      <c r="E157" s="66" t="s">
        <v>152</v>
      </c>
      <c r="F157" s="66" t="s">
        <v>83</v>
      </c>
      <c r="G157" s="66" t="str">
        <f>"2008"</f>
        <v>2008</v>
      </c>
      <c r="H157" s="66" t="str">
        <f>"02 9964 7000"</f>
        <v>02 9964 7000</v>
      </c>
      <c r="I157" s="66" t="str">
        <f>"0412398103"</f>
        <v>0412398103</v>
      </c>
      <c r="J157" s="68" t="s">
        <v>860</v>
      </c>
      <c r="K157" s="68" t="s">
        <v>861</v>
      </c>
      <c r="L157" s="44"/>
      <c r="M157" s="45"/>
      <c r="N157" s="45"/>
      <c r="O157" s="45"/>
      <c r="P157" s="46"/>
      <c r="Q157" s="47"/>
      <c r="R157" s="48" t="s">
        <v>87</v>
      </c>
      <c r="S157" s="48"/>
      <c r="T157" s="48" t="s">
        <v>87</v>
      </c>
      <c r="U157" s="48"/>
      <c r="V157" s="49" t="s">
        <v>87</v>
      </c>
    </row>
    <row r="158" spans="1:22" ht="28.5" customHeight="1" x14ac:dyDescent="0.35">
      <c r="A158" s="36" t="s">
        <v>862</v>
      </c>
      <c r="B158" s="66">
        <v>30069431054</v>
      </c>
      <c r="C158" s="66" t="s">
        <v>80</v>
      </c>
      <c r="D158" s="66" t="s">
        <v>863</v>
      </c>
      <c r="E158" s="66" t="s">
        <v>864</v>
      </c>
      <c r="F158" s="66" t="s">
        <v>83</v>
      </c>
      <c r="G158" s="66">
        <v>2000</v>
      </c>
      <c r="H158" s="66" t="s">
        <v>865</v>
      </c>
      <c r="I158" s="67" t="s">
        <v>866</v>
      </c>
      <c r="J158" s="68" t="s">
        <v>867</v>
      </c>
      <c r="K158" s="68" t="s">
        <v>868</v>
      </c>
      <c r="L158" s="44"/>
      <c r="M158" s="45"/>
      <c r="N158" s="45"/>
      <c r="O158" s="45"/>
      <c r="P158" s="46"/>
      <c r="Q158" s="47"/>
      <c r="R158" s="48"/>
      <c r="S158" s="48"/>
      <c r="T158" s="48"/>
      <c r="U158" s="48"/>
      <c r="V158" s="49"/>
    </row>
    <row r="159" spans="1:22" ht="28.5" customHeight="1" x14ac:dyDescent="0.35">
      <c r="A159" s="72" t="s">
        <v>869</v>
      </c>
      <c r="B159" s="69">
        <v>52169247901</v>
      </c>
      <c r="C159" s="69" t="s">
        <v>80</v>
      </c>
      <c r="D159" s="69" t="s">
        <v>870</v>
      </c>
      <c r="E159" s="69" t="s">
        <v>871</v>
      </c>
      <c r="F159" s="69" t="s">
        <v>83</v>
      </c>
      <c r="G159" s="69">
        <v>2776</v>
      </c>
      <c r="H159" s="69"/>
      <c r="I159" s="71" t="s">
        <v>872</v>
      </c>
      <c r="J159" s="70" t="s">
        <v>873</v>
      </c>
      <c r="K159" s="70" t="s">
        <v>874</v>
      </c>
      <c r="L159" s="44"/>
      <c r="M159" s="45"/>
      <c r="N159" s="45"/>
      <c r="O159" s="45"/>
      <c r="P159" s="46"/>
      <c r="Q159" s="47"/>
      <c r="R159" s="48"/>
      <c r="S159" s="48"/>
      <c r="T159" s="48"/>
      <c r="U159" s="48"/>
      <c r="V159" s="49"/>
    </row>
    <row r="160" spans="1:22" ht="28.5" customHeight="1" x14ac:dyDescent="0.35">
      <c r="A160" s="36" t="s">
        <v>875</v>
      </c>
      <c r="B160" s="66">
        <v>14621976181</v>
      </c>
      <c r="C160" s="66" t="s">
        <v>80</v>
      </c>
      <c r="D160" s="66" t="s">
        <v>876</v>
      </c>
      <c r="E160" s="66" t="s">
        <v>877</v>
      </c>
      <c r="F160" s="66" t="s">
        <v>83</v>
      </c>
      <c r="G160" s="66">
        <v>2039</v>
      </c>
      <c r="H160" s="67"/>
      <c r="I160" s="67" t="s">
        <v>878</v>
      </c>
      <c r="J160" s="68" t="s">
        <v>879</v>
      </c>
      <c r="K160" s="68" t="s">
        <v>880</v>
      </c>
      <c r="L160" s="44"/>
      <c r="M160" s="45"/>
      <c r="N160" s="45"/>
      <c r="O160" s="45"/>
      <c r="P160" s="46"/>
      <c r="Q160" s="47"/>
      <c r="R160" s="48"/>
      <c r="S160" s="48"/>
      <c r="T160" s="48"/>
      <c r="U160" s="48"/>
      <c r="V160" s="49"/>
    </row>
    <row r="161" spans="1:22" ht="28.5" customHeight="1" x14ac:dyDescent="0.35">
      <c r="A161" s="72" t="s">
        <v>881</v>
      </c>
      <c r="B161" s="69" t="s">
        <v>882</v>
      </c>
      <c r="C161" s="69" t="s">
        <v>80</v>
      </c>
      <c r="D161" s="69" t="s">
        <v>883</v>
      </c>
      <c r="E161" s="69" t="s">
        <v>884</v>
      </c>
      <c r="F161" s="69" t="s">
        <v>83</v>
      </c>
      <c r="G161" s="69">
        <v>2026</v>
      </c>
      <c r="H161" s="71"/>
      <c r="I161" s="71" t="s">
        <v>885</v>
      </c>
      <c r="J161" s="70" t="s">
        <v>886</v>
      </c>
      <c r="K161" s="70" t="s">
        <v>887</v>
      </c>
      <c r="L161" s="44"/>
      <c r="M161" s="45"/>
      <c r="N161" s="45"/>
      <c r="O161" s="45"/>
      <c r="P161" s="46"/>
      <c r="Q161" s="47"/>
      <c r="R161" s="48"/>
      <c r="S161" s="48"/>
      <c r="T161" s="48"/>
      <c r="U161" s="48"/>
      <c r="V161" s="49"/>
    </row>
    <row r="162" spans="1:22" ht="28.5" customHeight="1" x14ac:dyDescent="0.35">
      <c r="A162" s="36" t="s">
        <v>888</v>
      </c>
      <c r="B162" s="66">
        <v>56097951794</v>
      </c>
      <c r="C162" s="66" t="s">
        <v>80</v>
      </c>
      <c r="D162" s="66" t="s">
        <v>889</v>
      </c>
      <c r="E162" s="66" t="s">
        <v>90</v>
      </c>
      <c r="F162" s="66" t="s">
        <v>83</v>
      </c>
      <c r="G162" s="66" t="str">
        <f>"2000"</f>
        <v>2000</v>
      </c>
      <c r="H162" s="66" t="str">
        <f>"02 9955 5522"</f>
        <v>02 9955 5522</v>
      </c>
      <c r="I162" s="66" t="str">
        <f>"0438627579"</f>
        <v>0438627579</v>
      </c>
      <c r="J162" s="68" t="s">
        <v>890</v>
      </c>
      <c r="K162" s="68" t="s">
        <v>891</v>
      </c>
      <c r="L162" s="44"/>
      <c r="M162" s="45"/>
      <c r="N162" s="45"/>
      <c r="O162" s="45"/>
      <c r="P162" s="46"/>
      <c r="Q162" s="47"/>
      <c r="R162" s="48"/>
      <c r="S162" s="48"/>
      <c r="T162" s="48"/>
      <c r="U162" s="48"/>
      <c r="V162" s="49"/>
    </row>
    <row r="163" spans="1:22" ht="28.5" customHeight="1" x14ac:dyDescent="0.35">
      <c r="A163" s="36" t="s">
        <v>892</v>
      </c>
      <c r="B163" s="66">
        <v>26635090934</v>
      </c>
      <c r="C163" s="66" t="s">
        <v>80</v>
      </c>
      <c r="D163" s="66" t="s">
        <v>893</v>
      </c>
      <c r="E163" s="66" t="s">
        <v>90</v>
      </c>
      <c r="F163" s="66" t="s">
        <v>83</v>
      </c>
      <c r="G163" s="66">
        <v>2100</v>
      </c>
      <c r="H163" s="67"/>
      <c r="I163" s="67" t="s">
        <v>894</v>
      </c>
      <c r="J163" s="68" t="s">
        <v>895</v>
      </c>
      <c r="K163" s="68" t="s">
        <v>896</v>
      </c>
      <c r="L163" s="44"/>
      <c r="M163" s="45"/>
      <c r="N163" s="45"/>
      <c r="O163" s="45"/>
      <c r="P163" s="46"/>
      <c r="Q163" s="47"/>
      <c r="R163" s="48"/>
      <c r="S163" s="48"/>
      <c r="T163" s="48"/>
      <c r="U163" s="48"/>
      <c r="V163" s="49"/>
    </row>
    <row r="164" spans="1:22" ht="28.5" customHeight="1" x14ac:dyDescent="0.35">
      <c r="A164" s="36" t="s">
        <v>897</v>
      </c>
      <c r="B164" s="66">
        <v>90000154889</v>
      </c>
      <c r="C164" s="66" t="s">
        <v>80</v>
      </c>
      <c r="D164" s="66" t="s">
        <v>898</v>
      </c>
      <c r="E164" s="66" t="s">
        <v>365</v>
      </c>
      <c r="F164" s="66" t="s">
        <v>83</v>
      </c>
      <c r="G164" s="66" t="str">
        <f>"2000"</f>
        <v>2000</v>
      </c>
      <c r="H164" s="66" t="str">
        <f>"02 9994 4000"</f>
        <v>02 9994 4000</v>
      </c>
      <c r="I164" s="66" t="str">
        <f>"0466474153"</f>
        <v>0466474153</v>
      </c>
      <c r="J164" s="68" t="s">
        <v>899</v>
      </c>
      <c r="K164" s="68" t="s">
        <v>900</v>
      </c>
      <c r="L164" s="44"/>
      <c r="M164" s="45"/>
      <c r="N164" s="45"/>
      <c r="O164" s="45"/>
      <c r="P164" s="46"/>
      <c r="Q164" s="47"/>
      <c r="R164" s="48"/>
      <c r="S164" s="48"/>
      <c r="T164" s="48"/>
      <c r="U164" s="48"/>
      <c r="V164" s="49"/>
    </row>
    <row r="165" spans="1:22" ht="28.5" customHeight="1" x14ac:dyDescent="0.35">
      <c r="A165" s="36" t="s">
        <v>901</v>
      </c>
      <c r="B165" s="66">
        <v>74002285949</v>
      </c>
      <c r="C165" s="66" t="s">
        <v>80</v>
      </c>
      <c r="D165" s="66" t="s">
        <v>902</v>
      </c>
      <c r="E165" s="66" t="s">
        <v>90</v>
      </c>
      <c r="F165" s="66" t="s">
        <v>83</v>
      </c>
      <c r="G165" s="66">
        <v>2015</v>
      </c>
      <c r="H165" s="66" t="s">
        <v>903</v>
      </c>
      <c r="I165" s="67" t="s">
        <v>904</v>
      </c>
      <c r="J165" s="68" t="s">
        <v>905</v>
      </c>
      <c r="K165" s="68" t="s">
        <v>906</v>
      </c>
      <c r="L165" s="44"/>
      <c r="M165" s="45"/>
      <c r="N165" s="45"/>
      <c r="O165" s="45"/>
      <c r="P165" s="46"/>
      <c r="Q165" s="47"/>
      <c r="R165" s="48"/>
      <c r="S165" s="48"/>
      <c r="T165" s="48"/>
      <c r="U165" s="48"/>
      <c r="V165" s="49"/>
    </row>
    <row r="166" spans="1:22" ht="28.5" customHeight="1" x14ac:dyDescent="0.35">
      <c r="A166" s="36" t="s">
        <v>907</v>
      </c>
      <c r="B166" s="66">
        <v>48615798528</v>
      </c>
      <c r="C166" s="66" t="s">
        <v>80</v>
      </c>
      <c r="D166" s="66" t="s">
        <v>908</v>
      </c>
      <c r="E166" s="66" t="s">
        <v>909</v>
      </c>
      <c r="F166" s="66" t="s">
        <v>83</v>
      </c>
      <c r="G166" s="66">
        <v>2100</v>
      </c>
      <c r="H166" s="66"/>
      <c r="I166" s="67" t="s">
        <v>910</v>
      </c>
      <c r="J166" s="68" t="s">
        <v>911</v>
      </c>
      <c r="K166" s="68" t="s">
        <v>912</v>
      </c>
      <c r="L166" s="44"/>
      <c r="M166" s="45"/>
      <c r="N166" s="45"/>
      <c r="O166" s="45"/>
      <c r="P166" s="46"/>
      <c r="Q166" s="47"/>
      <c r="R166" s="48"/>
      <c r="S166" s="48"/>
      <c r="T166" s="48"/>
      <c r="U166" s="48"/>
      <c r="V166" s="49"/>
    </row>
    <row r="167" spans="1:22" ht="28.5" customHeight="1" x14ac:dyDescent="0.35">
      <c r="A167" s="36" t="s">
        <v>913</v>
      </c>
      <c r="B167" s="66">
        <v>64092483871</v>
      </c>
      <c r="C167" s="66" t="s">
        <v>80</v>
      </c>
      <c r="D167" s="66" t="s">
        <v>914</v>
      </c>
      <c r="E167" s="66" t="s">
        <v>139</v>
      </c>
      <c r="F167" s="66" t="s">
        <v>83</v>
      </c>
      <c r="G167" s="66" t="str">
        <f>"2000"</f>
        <v>2000</v>
      </c>
      <c r="H167" s="66" t="str">
        <f>"02 8040 9229"</f>
        <v>02 8040 9229</v>
      </c>
      <c r="I167" s="66" t="str">
        <f>"0418210609"</f>
        <v>0418210609</v>
      </c>
      <c r="J167" s="68" t="s">
        <v>915</v>
      </c>
      <c r="K167" s="68" t="s">
        <v>916</v>
      </c>
      <c r="L167" s="44"/>
      <c r="M167" s="45"/>
      <c r="N167" s="45"/>
      <c r="O167" s="45"/>
      <c r="P167" s="46"/>
      <c r="Q167" s="47"/>
      <c r="R167" s="48"/>
      <c r="S167" s="48"/>
      <c r="T167" s="48"/>
      <c r="U167" s="48"/>
      <c r="V167" s="49"/>
    </row>
    <row r="168" spans="1:22" ht="28.5" customHeight="1" x14ac:dyDescent="0.35">
      <c r="A168" s="36" t="s">
        <v>917</v>
      </c>
      <c r="B168" s="66">
        <v>88064780785</v>
      </c>
      <c r="C168" s="66" t="s">
        <v>80</v>
      </c>
      <c r="D168" s="66" t="s">
        <v>918</v>
      </c>
      <c r="E168" s="66" t="s">
        <v>132</v>
      </c>
      <c r="F168" s="66" t="s">
        <v>83</v>
      </c>
      <c r="G168" s="66">
        <v>2015</v>
      </c>
      <c r="H168" s="67" t="s">
        <v>919</v>
      </c>
      <c r="I168" s="67" t="s">
        <v>920</v>
      </c>
      <c r="J168" s="68" t="s">
        <v>921</v>
      </c>
      <c r="K168" s="68" t="s">
        <v>922</v>
      </c>
      <c r="L168" s="44"/>
      <c r="M168" s="45"/>
      <c r="N168" s="45"/>
      <c r="O168" s="45"/>
      <c r="P168" s="46"/>
      <c r="Q168" s="47"/>
      <c r="R168" s="48"/>
      <c r="S168" s="48"/>
      <c r="T168" s="48"/>
      <c r="U168" s="48"/>
      <c r="V168" s="49"/>
    </row>
    <row r="169" spans="1:22" ht="28.5" customHeight="1" x14ac:dyDescent="0.35">
      <c r="A169" s="36" t="s">
        <v>923</v>
      </c>
      <c r="B169" s="66">
        <v>81144665378</v>
      </c>
      <c r="C169" s="66" t="s">
        <v>80</v>
      </c>
      <c r="D169" s="66" t="s">
        <v>924</v>
      </c>
      <c r="E169" s="66" t="s">
        <v>925</v>
      </c>
      <c r="F169" s="66" t="s">
        <v>83</v>
      </c>
      <c r="G169" s="66" t="str">
        <f>"2000"</f>
        <v>2000</v>
      </c>
      <c r="H169" s="66"/>
      <c r="I169" s="66" t="str">
        <f>"0449077784"</f>
        <v>0449077784</v>
      </c>
      <c r="J169" s="68" t="s">
        <v>926</v>
      </c>
      <c r="K169" s="68" t="s">
        <v>927</v>
      </c>
      <c r="L169" s="44"/>
      <c r="M169" s="45"/>
      <c r="N169" s="45"/>
      <c r="O169" s="45"/>
      <c r="P169" s="46"/>
      <c r="Q169" s="47"/>
      <c r="R169" s="48"/>
      <c r="S169" s="48"/>
      <c r="T169" s="48"/>
      <c r="U169" s="48"/>
      <c r="V169" s="49"/>
    </row>
    <row r="170" spans="1:22" ht="28.5" customHeight="1" x14ac:dyDescent="0.35">
      <c r="A170" s="36" t="s">
        <v>928</v>
      </c>
      <c r="B170" s="66">
        <v>77349283711</v>
      </c>
      <c r="C170" s="66" t="s">
        <v>80</v>
      </c>
      <c r="D170" s="66" t="s">
        <v>929</v>
      </c>
      <c r="E170" s="66" t="s">
        <v>930</v>
      </c>
      <c r="F170" s="66" t="s">
        <v>83</v>
      </c>
      <c r="G170" s="66" t="str">
        <f>"2037"</f>
        <v>2037</v>
      </c>
      <c r="H170" s="66" t="str">
        <f>"02 8065 5652"</f>
        <v>02 8065 5652</v>
      </c>
      <c r="I170" s="66" t="str">
        <f>"0421516818"</f>
        <v>0421516818</v>
      </c>
      <c r="J170" s="68" t="s">
        <v>931</v>
      </c>
      <c r="K170" s="68" t="s">
        <v>932</v>
      </c>
      <c r="L170" s="44"/>
      <c r="M170" s="45"/>
      <c r="N170" s="45"/>
      <c r="O170" s="45"/>
      <c r="P170" s="46"/>
      <c r="Q170" s="47"/>
      <c r="R170" s="48"/>
      <c r="S170" s="48"/>
      <c r="T170" s="48"/>
      <c r="U170" s="48"/>
      <c r="V170" s="49"/>
    </row>
    <row r="171" spans="1:22" ht="28.5" customHeight="1" x14ac:dyDescent="0.35">
      <c r="A171" s="36" t="s">
        <v>933</v>
      </c>
      <c r="B171" s="66">
        <v>60600946389</v>
      </c>
      <c r="C171" s="66" t="s">
        <v>80</v>
      </c>
      <c r="D171" s="66" t="s">
        <v>934</v>
      </c>
      <c r="E171" s="66" t="s">
        <v>935</v>
      </c>
      <c r="F171" s="66" t="s">
        <v>83</v>
      </c>
      <c r="G171" s="66" t="str">
        <f>"2007"</f>
        <v>2007</v>
      </c>
      <c r="H171" s="66" t="str">
        <f>"02 9212 2000"</f>
        <v>02 9212 2000</v>
      </c>
      <c r="I171" s="66" t="str">
        <f>"0405160275"</f>
        <v>0405160275</v>
      </c>
      <c r="J171" s="68" t="s">
        <v>936</v>
      </c>
      <c r="K171" s="68" t="s">
        <v>937</v>
      </c>
      <c r="L171" s="44"/>
      <c r="M171" s="45"/>
      <c r="N171" s="45"/>
      <c r="O171" s="45"/>
      <c r="P171" s="46"/>
      <c r="Q171" s="47"/>
      <c r="R171" s="48"/>
      <c r="S171" s="48"/>
      <c r="T171" s="48"/>
      <c r="U171" s="48"/>
      <c r="V171" s="49"/>
    </row>
    <row r="172" spans="1:22" ht="28.5" customHeight="1" x14ac:dyDescent="0.35">
      <c r="A172" s="36" t="s">
        <v>938</v>
      </c>
      <c r="B172" s="66">
        <v>37817091833</v>
      </c>
      <c r="C172" s="66" t="s">
        <v>80</v>
      </c>
      <c r="D172" s="66" t="s">
        <v>939</v>
      </c>
      <c r="E172" s="66" t="s">
        <v>940</v>
      </c>
      <c r="F172" s="66" t="s">
        <v>83</v>
      </c>
      <c r="G172" s="66">
        <v>2445</v>
      </c>
      <c r="H172" s="67" t="s">
        <v>941</v>
      </c>
      <c r="I172" s="67" t="s">
        <v>942</v>
      </c>
      <c r="J172" s="68" t="s">
        <v>943</v>
      </c>
      <c r="K172" s="68" t="s">
        <v>944</v>
      </c>
      <c r="L172" s="44"/>
      <c r="M172" s="45"/>
      <c r="N172" s="45"/>
      <c r="O172" s="45"/>
      <c r="P172" s="46"/>
      <c r="Q172" s="47"/>
      <c r="R172" s="48"/>
      <c r="S172" s="48"/>
      <c r="T172" s="48"/>
      <c r="U172" s="48"/>
      <c r="V172" s="49"/>
    </row>
    <row r="173" spans="1:22" ht="28.5" customHeight="1" x14ac:dyDescent="0.35">
      <c r="A173" s="36" t="s">
        <v>945</v>
      </c>
      <c r="B173" s="66">
        <v>59062774663</v>
      </c>
      <c r="C173" s="66" t="s">
        <v>80</v>
      </c>
      <c r="D173" s="66" t="s">
        <v>946</v>
      </c>
      <c r="E173" s="66" t="s">
        <v>90</v>
      </c>
      <c r="F173" s="66" t="s">
        <v>83</v>
      </c>
      <c r="G173" s="66" t="str">
        <f>"2122"</f>
        <v>2122</v>
      </c>
      <c r="H173" s="66" t="str">
        <f>"02 8001 6658"</f>
        <v>02 8001 6658</v>
      </c>
      <c r="I173" s="66" t="str">
        <f>"0414977760"</f>
        <v>0414977760</v>
      </c>
      <c r="J173" s="68" t="s">
        <v>947</v>
      </c>
      <c r="K173" s="68" t="s">
        <v>948</v>
      </c>
      <c r="L173" s="44"/>
      <c r="M173" s="45"/>
      <c r="N173" s="45"/>
      <c r="O173" s="45"/>
      <c r="P173" s="46"/>
      <c r="Q173" s="47" t="s">
        <v>87</v>
      </c>
      <c r="R173" s="48" t="s">
        <v>87</v>
      </c>
      <c r="S173" s="48" t="s">
        <v>87</v>
      </c>
      <c r="T173" s="48" t="s">
        <v>87</v>
      </c>
      <c r="U173" s="48" t="s">
        <v>87</v>
      </c>
      <c r="V173" s="49" t="s">
        <v>87</v>
      </c>
    </row>
    <row r="174" spans="1:22" ht="28.5" customHeight="1" x14ac:dyDescent="0.35">
      <c r="A174" s="36" t="s">
        <v>949</v>
      </c>
      <c r="B174" s="66">
        <v>73646132676</v>
      </c>
      <c r="C174" s="66" t="s">
        <v>80</v>
      </c>
      <c r="D174" s="66" t="s">
        <v>950</v>
      </c>
      <c r="E174" s="66" t="s">
        <v>365</v>
      </c>
      <c r="F174" s="66" t="s">
        <v>83</v>
      </c>
      <c r="G174" s="66">
        <v>2011</v>
      </c>
      <c r="H174" s="66" t="s">
        <v>951</v>
      </c>
      <c r="I174" s="67" t="s">
        <v>952</v>
      </c>
      <c r="J174" s="68" t="s">
        <v>953</v>
      </c>
      <c r="K174" s="68" t="s">
        <v>954</v>
      </c>
      <c r="L174" s="44"/>
      <c r="M174" s="45"/>
      <c r="N174" s="45"/>
      <c r="O174" s="45"/>
      <c r="P174" s="46"/>
      <c r="Q174" s="47"/>
      <c r="R174" s="48"/>
      <c r="S174" s="48"/>
      <c r="T174" s="48"/>
      <c r="U174" s="48"/>
      <c r="V174" s="49"/>
    </row>
    <row r="175" spans="1:22" ht="28.5" customHeight="1" x14ac:dyDescent="0.35">
      <c r="A175" s="36" t="s">
        <v>955</v>
      </c>
      <c r="B175" s="66">
        <v>49151667695</v>
      </c>
      <c r="C175" s="66" t="s">
        <v>80</v>
      </c>
      <c r="D175" s="66" t="s">
        <v>956</v>
      </c>
      <c r="E175" s="66" t="s">
        <v>90</v>
      </c>
      <c r="F175" s="66" t="s">
        <v>107</v>
      </c>
      <c r="G175" s="66">
        <v>2612</v>
      </c>
      <c r="H175" s="66" t="s">
        <v>957</v>
      </c>
      <c r="I175" s="67" t="s">
        <v>958</v>
      </c>
      <c r="J175" s="68" t="s">
        <v>959</v>
      </c>
      <c r="K175" s="68" t="s">
        <v>960</v>
      </c>
      <c r="L175" s="44"/>
      <c r="M175" s="45"/>
      <c r="N175" s="45"/>
      <c r="O175" s="45"/>
      <c r="P175" s="46"/>
      <c r="Q175" s="47"/>
      <c r="R175" s="48"/>
      <c r="S175" s="48"/>
      <c r="T175" s="48"/>
      <c r="U175" s="48"/>
      <c r="V175" s="49"/>
    </row>
    <row r="176" spans="1:22" ht="28.5" customHeight="1" x14ac:dyDescent="0.35">
      <c r="A176" s="36" t="s">
        <v>961</v>
      </c>
      <c r="B176" s="66">
        <v>41597366396</v>
      </c>
      <c r="C176" s="66" t="s">
        <v>80</v>
      </c>
      <c r="D176" s="66" t="s">
        <v>962</v>
      </c>
      <c r="E176" s="66" t="s">
        <v>132</v>
      </c>
      <c r="F176" s="66" t="s">
        <v>83</v>
      </c>
      <c r="G176" s="66">
        <v>2040</v>
      </c>
      <c r="H176" s="67" t="s">
        <v>963</v>
      </c>
      <c r="I176" s="67" t="s">
        <v>964</v>
      </c>
      <c r="J176" s="68" t="s">
        <v>965</v>
      </c>
      <c r="K176" s="68" t="s">
        <v>966</v>
      </c>
      <c r="L176" s="44"/>
      <c r="M176" s="45"/>
      <c r="N176" s="45"/>
      <c r="O176" s="45"/>
      <c r="P176" s="46"/>
      <c r="Q176" s="47"/>
      <c r="R176" s="48"/>
      <c r="S176" s="48"/>
      <c r="T176" s="48"/>
      <c r="U176" s="48"/>
      <c r="V176" s="49"/>
    </row>
    <row r="177" spans="1:22" ht="28.5" customHeight="1" x14ac:dyDescent="0.35">
      <c r="A177" s="36" t="s">
        <v>967</v>
      </c>
      <c r="B177" s="66">
        <v>35622272271</v>
      </c>
      <c r="C177" s="66" t="s">
        <v>80</v>
      </c>
      <c r="D177" s="66" t="s">
        <v>968</v>
      </c>
      <c r="E177" s="66" t="s">
        <v>90</v>
      </c>
      <c r="F177" s="66" t="s">
        <v>83</v>
      </c>
      <c r="G177" s="66" t="str">
        <f>"2011"</f>
        <v>2011</v>
      </c>
      <c r="H177" s="66"/>
      <c r="I177" s="66" t="str">
        <f>"0411846026"</f>
        <v>0411846026</v>
      </c>
      <c r="J177" s="68" t="s">
        <v>969</v>
      </c>
      <c r="K177" s="68" t="s">
        <v>970</v>
      </c>
      <c r="L177" s="44"/>
      <c r="M177" s="45"/>
      <c r="N177" s="45"/>
      <c r="O177" s="45"/>
      <c r="P177" s="46"/>
      <c r="Q177" s="47"/>
      <c r="R177" s="48"/>
      <c r="S177" s="48"/>
      <c r="T177" s="48"/>
      <c r="U177" s="48"/>
      <c r="V177" s="49"/>
    </row>
    <row r="178" spans="1:22" ht="28.5" customHeight="1" x14ac:dyDescent="0.35">
      <c r="A178" s="36" t="s">
        <v>971</v>
      </c>
      <c r="B178" s="66">
        <v>95637792600</v>
      </c>
      <c r="C178" s="66" t="s">
        <v>80</v>
      </c>
      <c r="D178" s="66" t="s">
        <v>972</v>
      </c>
      <c r="E178" s="66" t="s">
        <v>973</v>
      </c>
      <c r="F178" s="66" t="s">
        <v>83</v>
      </c>
      <c r="G178" s="66">
        <v>2095</v>
      </c>
      <c r="H178" s="66"/>
      <c r="I178" s="67" t="s">
        <v>974</v>
      </c>
      <c r="J178" s="68" t="s">
        <v>975</v>
      </c>
      <c r="K178" s="68" t="s">
        <v>976</v>
      </c>
      <c r="L178" s="44"/>
      <c r="M178" s="45"/>
      <c r="N178" s="45"/>
      <c r="O178" s="45"/>
      <c r="P178" s="46"/>
      <c r="Q178" s="47"/>
      <c r="R178" s="48"/>
      <c r="S178" s="48"/>
      <c r="T178" s="48"/>
      <c r="U178" s="48"/>
      <c r="V178" s="49"/>
    </row>
    <row r="179" spans="1:22" ht="28.5" customHeight="1" x14ac:dyDescent="0.35">
      <c r="A179" s="36" t="s">
        <v>977</v>
      </c>
      <c r="B179" s="66">
        <v>83154883548</v>
      </c>
      <c r="C179" s="66" t="s">
        <v>87</v>
      </c>
      <c r="D179" s="66" t="s">
        <v>978</v>
      </c>
      <c r="E179" s="66" t="s">
        <v>779</v>
      </c>
      <c r="F179" s="66" t="s">
        <v>83</v>
      </c>
      <c r="G179" s="66" t="str">
        <f>"2000"</f>
        <v>2000</v>
      </c>
      <c r="H179" s="66" t="str">
        <f>"02 9458 8821"</f>
        <v>02 9458 8821</v>
      </c>
      <c r="I179" s="66" t="str">
        <f>"0421413801"</f>
        <v>0421413801</v>
      </c>
      <c r="J179" s="68" t="s">
        <v>979</v>
      </c>
      <c r="K179" s="68" t="s">
        <v>980</v>
      </c>
      <c r="L179" s="44"/>
      <c r="M179" s="45"/>
      <c r="N179" s="45"/>
      <c r="O179" s="45"/>
      <c r="P179" s="46"/>
      <c r="Q179" s="47"/>
      <c r="R179" s="48"/>
      <c r="S179" s="48"/>
      <c r="T179" s="48"/>
      <c r="U179" s="48"/>
      <c r="V179" s="49"/>
    </row>
    <row r="180" spans="1:22" ht="28.5" customHeight="1" x14ac:dyDescent="0.35">
      <c r="A180" s="36" t="s">
        <v>981</v>
      </c>
      <c r="B180" s="66">
        <v>88092011268</v>
      </c>
      <c r="C180" s="66" t="s">
        <v>80</v>
      </c>
      <c r="D180" s="66" t="s">
        <v>982</v>
      </c>
      <c r="E180" s="66" t="s">
        <v>152</v>
      </c>
      <c r="F180" s="66" t="s">
        <v>83</v>
      </c>
      <c r="G180" s="66" t="str">
        <f>"2011"</f>
        <v>2011</v>
      </c>
      <c r="H180" s="66" t="str">
        <f>"02 8356 1999"</f>
        <v>02 8356 1999</v>
      </c>
      <c r="I180" s="66" t="str">
        <f>"0413888685"</f>
        <v>0413888685</v>
      </c>
      <c r="J180" s="68" t="s">
        <v>983</v>
      </c>
      <c r="K180" s="68" t="s">
        <v>984</v>
      </c>
      <c r="L180" s="44"/>
      <c r="M180" s="45"/>
      <c r="N180" s="45"/>
      <c r="O180" s="45"/>
      <c r="P180" s="46"/>
      <c r="Q180" s="47"/>
      <c r="R180" s="48"/>
      <c r="S180" s="48"/>
      <c r="T180" s="48"/>
      <c r="U180" s="48"/>
      <c r="V180" s="49"/>
    </row>
    <row r="181" spans="1:22" ht="28.5" customHeight="1" x14ac:dyDescent="0.35">
      <c r="A181" s="36" t="s">
        <v>985</v>
      </c>
      <c r="B181" s="66" t="s">
        <v>986</v>
      </c>
      <c r="C181" s="66" t="s">
        <v>80</v>
      </c>
      <c r="D181" s="66" t="s">
        <v>987</v>
      </c>
      <c r="E181" s="66" t="s">
        <v>132</v>
      </c>
      <c r="F181" s="66" t="s">
        <v>83</v>
      </c>
      <c r="G181" s="66">
        <v>2533</v>
      </c>
      <c r="H181" s="66"/>
      <c r="I181" s="67" t="s">
        <v>988</v>
      </c>
      <c r="J181" s="68" t="s">
        <v>989</v>
      </c>
      <c r="K181" s="68" t="s">
        <v>990</v>
      </c>
      <c r="L181" s="44"/>
      <c r="M181" s="45"/>
      <c r="N181" s="45"/>
      <c r="O181" s="45"/>
      <c r="P181" s="46"/>
      <c r="Q181" s="47"/>
      <c r="R181" s="48"/>
      <c r="S181" s="48"/>
      <c r="T181" s="48"/>
      <c r="U181" s="48"/>
      <c r="V181" s="49"/>
    </row>
    <row r="182" spans="1:22" ht="28.5" customHeight="1" x14ac:dyDescent="0.35">
      <c r="A182" s="72" t="s">
        <v>991</v>
      </c>
      <c r="B182" s="69">
        <v>50005373508</v>
      </c>
      <c r="C182" s="69" t="s">
        <v>80</v>
      </c>
      <c r="D182" s="69" t="s">
        <v>992</v>
      </c>
      <c r="E182" s="69" t="s">
        <v>993</v>
      </c>
      <c r="F182" s="66" t="s">
        <v>83</v>
      </c>
      <c r="G182" s="66" t="str">
        <f>"2000"</f>
        <v>2000</v>
      </c>
      <c r="H182" s="69" t="s">
        <v>994</v>
      </c>
      <c r="I182" s="71" t="s">
        <v>995</v>
      </c>
      <c r="J182" s="70" t="s">
        <v>996</v>
      </c>
      <c r="K182" s="70" t="s">
        <v>997</v>
      </c>
      <c r="L182" s="44"/>
      <c r="M182" s="45"/>
      <c r="N182" s="45"/>
      <c r="O182" s="45"/>
      <c r="P182" s="46"/>
      <c r="Q182" s="47"/>
      <c r="R182" s="48"/>
      <c r="S182" s="48"/>
      <c r="T182" s="48"/>
      <c r="U182" s="48"/>
      <c r="V182" s="49"/>
    </row>
    <row r="183" spans="1:22" ht="28.5" customHeight="1" x14ac:dyDescent="0.35">
      <c r="A183" s="36" t="s">
        <v>998</v>
      </c>
      <c r="B183" s="66">
        <v>83613410692</v>
      </c>
      <c r="C183" s="66" t="s">
        <v>80</v>
      </c>
      <c r="D183" s="66" t="s">
        <v>999</v>
      </c>
      <c r="E183" s="66" t="s">
        <v>1000</v>
      </c>
      <c r="F183" s="66" t="s">
        <v>83</v>
      </c>
      <c r="G183" s="66">
        <v>2017</v>
      </c>
      <c r="H183" s="67" t="s">
        <v>1001</v>
      </c>
      <c r="I183" s="67" t="s">
        <v>1002</v>
      </c>
      <c r="J183" s="68" t="s">
        <v>1003</v>
      </c>
      <c r="K183" s="68" t="s">
        <v>1004</v>
      </c>
      <c r="L183" s="44"/>
      <c r="M183" s="45"/>
      <c r="N183" s="45"/>
      <c r="O183" s="45"/>
      <c r="P183" s="46"/>
      <c r="Q183" s="47"/>
      <c r="R183" s="48"/>
      <c r="S183" s="48"/>
      <c r="T183" s="48"/>
      <c r="U183" s="48"/>
      <c r="V183" s="49"/>
    </row>
    <row r="184" spans="1:22" ht="28.5" customHeight="1" x14ac:dyDescent="0.35">
      <c r="A184" s="36" t="s">
        <v>1005</v>
      </c>
      <c r="B184" s="66">
        <v>14103425850</v>
      </c>
      <c r="C184" s="66" t="s">
        <v>80</v>
      </c>
      <c r="D184" s="66" t="s">
        <v>1006</v>
      </c>
      <c r="E184" s="66" t="s">
        <v>90</v>
      </c>
      <c r="F184" s="66" t="s">
        <v>107</v>
      </c>
      <c r="G184" s="66" t="str">
        <f>"2609"</f>
        <v>2609</v>
      </c>
      <c r="H184" s="66" t="str">
        <f>"02 6202 8000"</f>
        <v>02 6202 8000</v>
      </c>
      <c r="I184" s="66" t="str">
        <f>"0417492560"</f>
        <v>0417492560</v>
      </c>
      <c r="J184" s="68" t="s">
        <v>1007</v>
      </c>
      <c r="K184" s="68" t="s">
        <v>1008</v>
      </c>
      <c r="L184" s="44"/>
      <c r="M184" s="45"/>
      <c r="N184" s="45"/>
      <c r="O184" s="45"/>
      <c r="P184" s="46"/>
      <c r="Q184" s="47"/>
      <c r="R184" s="48"/>
      <c r="S184" s="48"/>
      <c r="T184" s="48"/>
      <c r="U184" s="48"/>
      <c r="V184" s="49"/>
    </row>
    <row r="185" spans="1:22" ht="28.5" customHeight="1" x14ac:dyDescent="0.35">
      <c r="A185" s="36" t="s">
        <v>1009</v>
      </c>
      <c r="B185" s="66">
        <v>42150241535</v>
      </c>
      <c r="C185" s="66" t="s">
        <v>80</v>
      </c>
      <c r="D185" s="66" t="s">
        <v>1010</v>
      </c>
      <c r="E185" s="66" t="s">
        <v>1011</v>
      </c>
      <c r="F185" s="66" t="s">
        <v>83</v>
      </c>
      <c r="G185" s="66" t="str">
        <f>"2010"</f>
        <v>2010</v>
      </c>
      <c r="H185" s="66" t="str">
        <f>"02 9045 1485"</f>
        <v>02 9045 1485</v>
      </c>
      <c r="I185" s="66" t="str">
        <f>"0400499881"</f>
        <v>0400499881</v>
      </c>
      <c r="J185" s="68" t="s">
        <v>1012</v>
      </c>
      <c r="K185" s="68" t="s">
        <v>1013</v>
      </c>
      <c r="L185" s="44"/>
      <c r="M185" s="45"/>
      <c r="N185" s="45"/>
      <c r="O185" s="45"/>
      <c r="P185" s="46"/>
      <c r="Q185" s="47"/>
      <c r="R185" s="48"/>
      <c r="S185" s="48"/>
      <c r="T185" s="48"/>
      <c r="U185" s="48"/>
      <c r="V185" s="49"/>
    </row>
    <row r="186" spans="1:22" ht="28.5" customHeight="1" x14ac:dyDescent="0.35">
      <c r="A186" s="36" t="s">
        <v>1014</v>
      </c>
      <c r="B186" s="66">
        <v>19167028720</v>
      </c>
      <c r="C186" s="66" t="s">
        <v>80</v>
      </c>
      <c r="D186" s="66" t="s">
        <v>1015</v>
      </c>
      <c r="E186" s="66" t="s">
        <v>132</v>
      </c>
      <c r="F186" s="66" t="s">
        <v>83</v>
      </c>
      <c r="G186" s="66" t="str">
        <f>"2040"</f>
        <v>2040</v>
      </c>
      <c r="H186" s="66"/>
      <c r="I186" s="66" t="str">
        <f>"0449843633"</f>
        <v>0449843633</v>
      </c>
      <c r="J186" s="68" t="s">
        <v>1016</v>
      </c>
      <c r="K186" s="68" t="s">
        <v>1017</v>
      </c>
      <c r="L186" s="44"/>
      <c r="M186" s="45"/>
      <c r="N186" s="45"/>
      <c r="O186" s="45"/>
      <c r="P186" s="46"/>
      <c r="Q186" s="47"/>
      <c r="R186" s="48"/>
      <c r="S186" s="48"/>
      <c r="T186" s="48"/>
      <c r="U186" s="48"/>
      <c r="V186" s="49"/>
    </row>
    <row r="187" spans="1:22" ht="28.5" customHeight="1" x14ac:dyDescent="0.35">
      <c r="A187" s="36" t="s">
        <v>1018</v>
      </c>
      <c r="B187" s="66">
        <v>38618611975</v>
      </c>
      <c r="C187" s="66" t="s">
        <v>80</v>
      </c>
      <c r="D187" s="66" t="s">
        <v>1019</v>
      </c>
      <c r="E187" s="66" t="s">
        <v>90</v>
      </c>
      <c r="F187" s="66" t="s">
        <v>83</v>
      </c>
      <c r="G187" s="66" t="str">
        <f>"2060"</f>
        <v>2060</v>
      </c>
      <c r="H187" s="66" t="str">
        <f>"02 9318 0200"</f>
        <v>02 9318 0200</v>
      </c>
      <c r="I187" s="66" t="str">
        <f>"0439588070"</f>
        <v>0439588070</v>
      </c>
      <c r="J187" s="68" t="s">
        <v>1020</v>
      </c>
      <c r="K187" s="68" t="s">
        <v>1021</v>
      </c>
      <c r="L187" s="44"/>
      <c r="M187" s="45"/>
      <c r="N187" s="45"/>
      <c r="O187" s="45"/>
      <c r="P187" s="46"/>
      <c r="Q187" s="47"/>
      <c r="R187" s="48"/>
      <c r="S187" s="48"/>
      <c r="T187" s="48"/>
      <c r="U187" s="48"/>
      <c r="V187" s="49"/>
    </row>
    <row r="188" spans="1:22" ht="28.5" customHeight="1" x14ac:dyDescent="0.35">
      <c r="A188" s="36" t="s">
        <v>1022</v>
      </c>
      <c r="B188" s="66">
        <v>65082542292</v>
      </c>
      <c r="C188" s="66" t="s">
        <v>80</v>
      </c>
      <c r="D188" s="66" t="s">
        <v>1023</v>
      </c>
      <c r="E188" s="66" t="s">
        <v>935</v>
      </c>
      <c r="F188" s="66" t="s">
        <v>83</v>
      </c>
      <c r="G188" s="66" t="str">
        <f>"2230"</f>
        <v>2230</v>
      </c>
      <c r="H188" s="66" t="str">
        <f>"02 9544 3200"</f>
        <v>02 9544 3200</v>
      </c>
      <c r="I188" s="66" t="str">
        <f>"0411586000"</f>
        <v>0411586000</v>
      </c>
      <c r="J188" s="68" t="s">
        <v>1024</v>
      </c>
      <c r="K188" s="68" t="s">
        <v>1025</v>
      </c>
      <c r="L188" s="44"/>
      <c r="M188" s="45"/>
      <c r="N188" s="45"/>
      <c r="O188" s="45"/>
      <c r="P188" s="46"/>
      <c r="Q188" s="47"/>
      <c r="R188" s="48"/>
      <c r="S188" s="48"/>
      <c r="T188" s="48"/>
      <c r="U188" s="48"/>
      <c r="V188" s="49"/>
    </row>
    <row r="189" spans="1:22" ht="28.5" customHeight="1" x14ac:dyDescent="0.35">
      <c r="A189" s="36" t="s">
        <v>1026</v>
      </c>
      <c r="B189" s="66">
        <v>97117883173</v>
      </c>
      <c r="C189" s="66" t="s">
        <v>80</v>
      </c>
      <c r="D189" s="66" t="s">
        <v>1027</v>
      </c>
      <c r="E189" s="66" t="s">
        <v>342</v>
      </c>
      <c r="F189" s="66" t="s">
        <v>83</v>
      </c>
      <c r="G189" s="66" t="str">
        <f>"2000"</f>
        <v>2000</v>
      </c>
      <c r="H189" s="66" t="str">
        <f>"02 8099 3200"</f>
        <v>02 8099 3200</v>
      </c>
      <c r="I189" s="66" t="str">
        <f>""</f>
        <v/>
      </c>
      <c r="J189" s="68" t="s">
        <v>1028</v>
      </c>
      <c r="K189" s="68" t="s">
        <v>1029</v>
      </c>
      <c r="L189" s="44"/>
      <c r="M189" s="45"/>
      <c r="N189" s="45"/>
      <c r="O189" s="45"/>
      <c r="P189" s="46"/>
      <c r="Q189" s="47"/>
      <c r="R189" s="48"/>
      <c r="S189" s="48"/>
      <c r="T189" s="48"/>
      <c r="U189" s="48"/>
      <c r="V189" s="49"/>
    </row>
    <row r="190" spans="1:22" ht="28.5" customHeight="1" x14ac:dyDescent="0.35">
      <c r="A190" s="36" t="s">
        <v>1030</v>
      </c>
      <c r="B190" s="66">
        <v>92126058464</v>
      </c>
      <c r="C190" s="66" t="s">
        <v>80</v>
      </c>
      <c r="D190" s="66" t="s">
        <v>1031</v>
      </c>
      <c r="E190" s="66" t="s">
        <v>90</v>
      </c>
      <c r="F190" s="66" t="s">
        <v>83</v>
      </c>
      <c r="G190" s="66">
        <v>2010</v>
      </c>
      <c r="H190" s="66" t="s">
        <v>1032</v>
      </c>
      <c r="I190" s="67" t="s">
        <v>1033</v>
      </c>
      <c r="J190" s="68" t="s">
        <v>1034</v>
      </c>
      <c r="K190" s="68" t="s">
        <v>1035</v>
      </c>
      <c r="L190" s="44"/>
      <c r="M190" s="45"/>
      <c r="N190" s="45"/>
      <c r="O190" s="45"/>
      <c r="P190" s="46"/>
      <c r="Q190" s="47"/>
      <c r="R190" s="48"/>
      <c r="S190" s="48"/>
      <c r="T190" s="48"/>
      <c r="U190" s="48"/>
      <c r="V190" s="49"/>
    </row>
    <row r="191" spans="1:22" ht="28.5" customHeight="1" x14ac:dyDescent="0.35">
      <c r="A191" s="36" t="s">
        <v>1036</v>
      </c>
      <c r="B191" s="66">
        <v>91642892331</v>
      </c>
      <c r="C191" s="66" t="s">
        <v>80</v>
      </c>
      <c r="D191" s="66" t="s">
        <v>1037</v>
      </c>
      <c r="E191" s="66" t="s">
        <v>90</v>
      </c>
      <c r="F191" s="66" t="s">
        <v>83</v>
      </c>
      <c r="G191" s="66">
        <v>2000</v>
      </c>
      <c r="H191" s="67"/>
      <c r="I191" s="67" t="s">
        <v>1038</v>
      </c>
      <c r="J191" s="68" t="s">
        <v>1039</v>
      </c>
      <c r="K191" s="68" t="s">
        <v>1040</v>
      </c>
      <c r="L191" s="44"/>
      <c r="M191" s="45"/>
      <c r="N191" s="45"/>
      <c r="O191" s="45"/>
      <c r="P191" s="46"/>
      <c r="Q191" s="47"/>
      <c r="R191" s="48"/>
      <c r="S191" s="48"/>
      <c r="T191" s="48"/>
      <c r="U191" s="48"/>
      <c r="V191" s="49"/>
    </row>
    <row r="192" spans="1:22" ht="28.5" customHeight="1" x14ac:dyDescent="0.35">
      <c r="A192" s="36" t="s">
        <v>1041</v>
      </c>
      <c r="B192" s="66">
        <v>40079616050</v>
      </c>
      <c r="C192" s="66" t="s">
        <v>80</v>
      </c>
      <c r="D192" s="66" t="s">
        <v>1042</v>
      </c>
      <c r="E192" s="66" t="s">
        <v>152</v>
      </c>
      <c r="F192" s="66" t="s">
        <v>83</v>
      </c>
      <c r="G192" s="66" t="str">
        <f>"2000"</f>
        <v>2000</v>
      </c>
      <c r="H192" s="66" t="str">
        <f>"02 8987 2100"</f>
        <v>02 8987 2100</v>
      </c>
      <c r="I192" s="66" t="str">
        <f>"0419297460"</f>
        <v>0419297460</v>
      </c>
      <c r="J192" s="68" t="s">
        <v>1043</v>
      </c>
      <c r="K192" s="68" t="s">
        <v>1044</v>
      </c>
      <c r="L192" s="44"/>
      <c r="M192" s="45"/>
      <c r="N192" s="45"/>
      <c r="O192" s="45"/>
      <c r="P192" s="46"/>
      <c r="Q192" s="47"/>
      <c r="R192" s="48"/>
      <c r="S192" s="48"/>
      <c r="T192" s="48"/>
      <c r="U192" s="48"/>
      <c r="V192" s="49"/>
    </row>
    <row r="193" spans="1:22" ht="28.5" customHeight="1" x14ac:dyDescent="0.35">
      <c r="A193" s="36" t="s">
        <v>1045</v>
      </c>
      <c r="B193" s="66">
        <v>36617864347</v>
      </c>
      <c r="C193" s="66" t="s">
        <v>80</v>
      </c>
      <c r="D193" s="66" t="s">
        <v>1046</v>
      </c>
      <c r="E193" s="66" t="s">
        <v>1047</v>
      </c>
      <c r="F193" s="66" t="s">
        <v>83</v>
      </c>
      <c r="G193" s="66">
        <v>2010</v>
      </c>
      <c r="H193" s="66" t="s">
        <v>1048</v>
      </c>
      <c r="I193" s="67" t="s">
        <v>1049</v>
      </c>
      <c r="J193" s="68" t="s">
        <v>1050</v>
      </c>
      <c r="K193" s="68" t="s">
        <v>1051</v>
      </c>
      <c r="L193" s="44"/>
      <c r="M193" s="45"/>
      <c r="N193" s="45"/>
      <c r="O193" s="45"/>
      <c r="P193" s="46"/>
      <c r="Q193" s="47"/>
      <c r="R193" s="48" t="s">
        <v>87</v>
      </c>
      <c r="S193" s="48"/>
      <c r="T193" s="48" t="s">
        <v>87</v>
      </c>
      <c r="U193" s="48"/>
      <c r="V193" s="49" t="s">
        <v>87</v>
      </c>
    </row>
    <row r="194" spans="1:22" ht="28.5" customHeight="1" x14ac:dyDescent="0.35">
      <c r="A194" s="36" t="s">
        <v>1052</v>
      </c>
      <c r="B194" s="66">
        <v>88069309495</v>
      </c>
      <c r="C194" s="66" t="s">
        <v>80</v>
      </c>
      <c r="D194" s="66" t="s">
        <v>1053</v>
      </c>
      <c r="E194" s="66" t="s">
        <v>1054</v>
      </c>
      <c r="F194" s="66" t="s">
        <v>83</v>
      </c>
      <c r="G194" s="66" t="str">
        <f>"2000"</f>
        <v>2000</v>
      </c>
      <c r="H194" s="66" t="str">
        <f>"02 9251 3833"</f>
        <v>02 9251 3833</v>
      </c>
      <c r="I194" s="66" t="str">
        <f>"0418447094"</f>
        <v>0418447094</v>
      </c>
      <c r="J194" s="68" t="s">
        <v>1055</v>
      </c>
      <c r="K194" s="68" t="s">
        <v>1056</v>
      </c>
      <c r="L194" s="44"/>
      <c r="M194" s="45"/>
      <c r="N194" s="45"/>
      <c r="O194" s="45"/>
      <c r="P194" s="46"/>
      <c r="Q194" s="47"/>
      <c r="R194" s="48"/>
      <c r="S194" s="48"/>
      <c r="T194" s="48"/>
      <c r="U194" s="48"/>
      <c r="V194" s="49"/>
    </row>
    <row r="195" spans="1:22" ht="28.5" customHeight="1" x14ac:dyDescent="0.35">
      <c r="A195" s="36" t="s">
        <v>1057</v>
      </c>
      <c r="B195" s="66">
        <v>56201903592</v>
      </c>
      <c r="C195" s="66" t="s">
        <v>80</v>
      </c>
      <c r="D195" s="66" t="s">
        <v>1058</v>
      </c>
      <c r="E195" s="66" t="s">
        <v>342</v>
      </c>
      <c r="F195" s="66" t="s">
        <v>83</v>
      </c>
      <c r="G195" s="66">
        <v>2217</v>
      </c>
      <c r="H195" s="66" t="s">
        <v>1059</v>
      </c>
      <c r="I195" s="67" t="s">
        <v>1060</v>
      </c>
      <c r="J195" s="68" t="s">
        <v>1061</v>
      </c>
      <c r="K195" s="68" t="s">
        <v>1062</v>
      </c>
      <c r="L195" s="44"/>
      <c r="M195" s="45"/>
      <c r="N195" s="45"/>
      <c r="O195" s="45"/>
      <c r="P195" s="46"/>
      <c r="Q195" s="47"/>
      <c r="R195" s="48"/>
      <c r="S195" s="48"/>
      <c r="T195" s="48"/>
      <c r="U195" s="48"/>
      <c r="V195" s="49"/>
    </row>
    <row r="196" spans="1:22" ht="28.5" customHeight="1" x14ac:dyDescent="0.35">
      <c r="A196" s="36" t="s">
        <v>1063</v>
      </c>
      <c r="B196" s="66">
        <v>45160146234</v>
      </c>
      <c r="C196" s="66" t="s">
        <v>80</v>
      </c>
      <c r="D196" s="66" t="s">
        <v>1064</v>
      </c>
      <c r="E196" s="66" t="s">
        <v>90</v>
      </c>
      <c r="F196" s="66" t="s">
        <v>83</v>
      </c>
      <c r="G196" s="66">
        <v>2027</v>
      </c>
      <c r="H196" s="66" t="s">
        <v>1065</v>
      </c>
      <c r="I196" s="67" t="s">
        <v>1066</v>
      </c>
      <c r="J196" s="68" t="s">
        <v>1067</v>
      </c>
      <c r="K196" s="68" t="s">
        <v>1068</v>
      </c>
      <c r="L196" s="44"/>
      <c r="M196" s="45"/>
      <c r="N196" s="45"/>
      <c r="O196" s="45"/>
      <c r="P196" s="46"/>
      <c r="Q196" s="47"/>
      <c r="R196" s="48"/>
      <c r="S196" s="48"/>
      <c r="T196" s="48"/>
      <c r="U196" s="48"/>
      <c r="V196" s="49"/>
    </row>
    <row r="197" spans="1:22" ht="28.5" customHeight="1" x14ac:dyDescent="0.35">
      <c r="A197" s="36" t="s">
        <v>1069</v>
      </c>
      <c r="B197" s="66">
        <v>70600334361</v>
      </c>
      <c r="C197" s="66" t="s">
        <v>80</v>
      </c>
      <c r="D197" s="66" t="s">
        <v>1070</v>
      </c>
      <c r="E197" s="66" t="s">
        <v>132</v>
      </c>
      <c r="F197" s="66" t="s">
        <v>83</v>
      </c>
      <c r="G197" s="66" t="str">
        <f>"2107"</f>
        <v>2107</v>
      </c>
      <c r="H197" s="66"/>
      <c r="I197" s="66" t="str">
        <f>"0431718018"</f>
        <v>0431718018</v>
      </c>
      <c r="J197" s="68" t="s">
        <v>1071</v>
      </c>
      <c r="K197" s="68" t="s">
        <v>1072</v>
      </c>
      <c r="L197" s="44"/>
      <c r="M197" s="45"/>
      <c r="N197" s="45"/>
      <c r="O197" s="45"/>
      <c r="P197" s="46"/>
      <c r="Q197" s="47"/>
      <c r="R197" s="48"/>
      <c r="S197" s="48"/>
      <c r="T197" s="48"/>
      <c r="U197" s="48"/>
      <c r="V197" s="49"/>
    </row>
    <row r="198" spans="1:22" ht="28.5" customHeight="1" x14ac:dyDescent="0.35">
      <c r="A198" s="36" t="s">
        <v>1073</v>
      </c>
      <c r="B198" s="66">
        <v>22166978669</v>
      </c>
      <c r="C198" s="66" t="s">
        <v>80</v>
      </c>
      <c r="D198" s="66" t="s">
        <v>1074</v>
      </c>
      <c r="E198" s="66" t="s">
        <v>90</v>
      </c>
      <c r="F198" s="66" t="s">
        <v>379</v>
      </c>
      <c r="G198" s="66" t="str">
        <f>"3205"</f>
        <v>3205</v>
      </c>
      <c r="H198" s="66" t="str">
        <f>"1300 886 572"</f>
        <v>1300 886 572</v>
      </c>
      <c r="I198" s="66" t="str">
        <f>"0402658849"</f>
        <v>0402658849</v>
      </c>
      <c r="J198" s="68" t="s">
        <v>1075</v>
      </c>
      <c r="K198" s="68" t="s">
        <v>1076</v>
      </c>
      <c r="L198" s="44"/>
      <c r="M198" s="45"/>
      <c r="N198" s="45"/>
      <c r="O198" s="45"/>
      <c r="P198" s="46"/>
      <c r="Q198" s="47"/>
      <c r="R198" s="48"/>
      <c r="S198" s="48"/>
      <c r="T198" s="48"/>
      <c r="U198" s="48"/>
      <c r="V198" s="49"/>
    </row>
    <row r="199" spans="1:22" ht="28.5" customHeight="1" x14ac:dyDescent="0.35">
      <c r="A199" s="36" t="s">
        <v>1077</v>
      </c>
      <c r="B199" s="66">
        <v>80617855688</v>
      </c>
      <c r="C199" s="66" t="s">
        <v>80</v>
      </c>
      <c r="D199" s="66" t="s">
        <v>1078</v>
      </c>
      <c r="E199" s="66" t="s">
        <v>1079</v>
      </c>
      <c r="F199" s="66" t="s">
        <v>83</v>
      </c>
      <c r="G199" s="66">
        <v>2096</v>
      </c>
      <c r="H199" s="66"/>
      <c r="I199" s="66" t="s">
        <v>1080</v>
      </c>
      <c r="J199" s="68" t="s">
        <v>1081</v>
      </c>
      <c r="K199" s="68" t="s">
        <v>1082</v>
      </c>
      <c r="L199" s="44"/>
      <c r="M199" s="45"/>
      <c r="N199" s="45"/>
      <c r="O199" s="45"/>
      <c r="P199" s="46"/>
      <c r="Q199" s="47"/>
      <c r="R199" s="48"/>
      <c r="S199" s="48"/>
      <c r="T199" s="48"/>
      <c r="U199" s="48"/>
      <c r="V199" s="49"/>
    </row>
    <row r="200" spans="1:22" ht="28.5" customHeight="1" x14ac:dyDescent="0.35">
      <c r="A200" s="36" t="s">
        <v>1083</v>
      </c>
      <c r="B200" s="66">
        <v>91161939046</v>
      </c>
      <c r="C200" s="66" t="s">
        <v>80</v>
      </c>
      <c r="D200" s="66" t="s">
        <v>1084</v>
      </c>
      <c r="E200" s="66" t="s">
        <v>90</v>
      </c>
      <c r="F200" s="66" t="s">
        <v>83</v>
      </c>
      <c r="G200" s="66" t="str">
        <f>"2010"</f>
        <v>2010</v>
      </c>
      <c r="H200" s="66" t="str">
        <f>"02 8007 7675"</f>
        <v>02 8007 7675</v>
      </c>
      <c r="I200" s="66" t="str">
        <f>"0401614913"</f>
        <v>0401614913</v>
      </c>
      <c r="J200" s="68" t="s">
        <v>1085</v>
      </c>
      <c r="K200" s="68" t="s">
        <v>1086</v>
      </c>
      <c r="L200" s="44"/>
      <c r="M200" s="45"/>
      <c r="N200" s="45"/>
      <c r="O200" s="45"/>
      <c r="P200" s="46"/>
      <c r="Q200" s="47"/>
      <c r="R200" s="48"/>
      <c r="S200" s="48"/>
      <c r="T200" s="48"/>
      <c r="U200" s="48"/>
      <c r="V200" s="49"/>
    </row>
    <row r="201" spans="1:22" ht="28.5" customHeight="1" x14ac:dyDescent="0.35">
      <c r="A201" s="36" t="s">
        <v>1087</v>
      </c>
      <c r="B201" s="66">
        <v>60128217354</v>
      </c>
      <c r="C201" s="66" t="s">
        <v>80</v>
      </c>
      <c r="D201" s="66" t="s">
        <v>1088</v>
      </c>
      <c r="E201" s="66" t="s">
        <v>152</v>
      </c>
      <c r="F201" s="66" t="s">
        <v>115</v>
      </c>
      <c r="G201" s="66">
        <v>4220</v>
      </c>
      <c r="H201" s="67" t="s">
        <v>1089</v>
      </c>
      <c r="I201" s="67"/>
      <c r="J201" s="68" t="s">
        <v>1090</v>
      </c>
      <c r="K201" s="68" t="s">
        <v>1091</v>
      </c>
      <c r="L201" s="44"/>
      <c r="M201" s="45"/>
      <c r="N201" s="45"/>
      <c r="O201" s="45"/>
      <c r="P201" s="46"/>
      <c r="Q201" s="47"/>
      <c r="R201" s="48"/>
      <c r="S201" s="48"/>
      <c r="T201" s="48"/>
      <c r="U201" s="48"/>
      <c r="V201" s="49"/>
    </row>
    <row r="202" spans="1:22" ht="28.5" customHeight="1" x14ac:dyDescent="0.35">
      <c r="A202" s="72" t="s">
        <v>1092</v>
      </c>
      <c r="B202" s="69">
        <v>81130923269</v>
      </c>
      <c r="C202" s="69" t="s">
        <v>80</v>
      </c>
      <c r="D202" s="69" t="s">
        <v>1093</v>
      </c>
      <c r="E202" s="69" t="s">
        <v>152</v>
      </c>
      <c r="F202" s="69" t="s">
        <v>83</v>
      </c>
      <c r="G202" s="69">
        <v>2008</v>
      </c>
      <c r="H202" s="69"/>
      <c r="I202" s="71" t="s">
        <v>1094</v>
      </c>
      <c r="J202" s="70" t="s">
        <v>1095</v>
      </c>
      <c r="K202" s="70" t="s">
        <v>1096</v>
      </c>
      <c r="L202" s="44"/>
      <c r="M202" s="45"/>
      <c r="N202" s="45"/>
      <c r="O202" s="45"/>
      <c r="P202" s="46"/>
      <c r="Q202" s="47"/>
      <c r="R202" s="48"/>
      <c r="S202" s="48"/>
      <c r="T202" s="48"/>
      <c r="U202" s="48"/>
      <c r="V202" s="49"/>
    </row>
    <row r="203" spans="1:22" ht="28.5" customHeight="1" x14ac:dyDescent="0.35">
      <c r="A203" s="36" t="s">
        <v>1097</v>
      </c>
      <c r="B203" s="66">
        <v>41121766498</v>
      </c>
      <c r="C203" s="66" t="s">
        <v>80</v>
      </c>
      <c r="D203" s="66" t="s">
        <v>1098</v>
      </c>
      <c r="E203" s="66" t="s">
        <v>299</v>
      </c>
      <c r="F203" s="66" t="s">
        <v>83</v>
      </c>
      <c r="G203" s="66" t="str">
        <f>"2095"</f>
        <v>2095</v>
      </c>
      <c r="H203" s="66" t="str">
        <f>"02 9907 9927"</f>
        <v>02 9907 9927</v>
      </c>
      <c r="I203" s="66" t="str">
        <f>"0422224220"</f>
        <v>0422224220</v>
      </c>
      <c r="J203" s="68" t="s">
        <v>1099</v>
      </c>
      <c r="K203" s="68" t="s">
        <v>1100</v>
      </c>
      <c r="L203" s="44"/>
      <c r="M203" s="45"/>
      <c r="N203" s="45"/>
      <c r="O203" s="45"/>
      <c r="P203" s="46"/>
      <c r="Q203" s="47"/>
      <c r="R203" s="48"/>
      <c r="S203" s="48"/>
      <c r="T203" s="48"/>
      <c r="U203" s="48"/>
      <c r="V203" s="49"/>
    </row>
    <row r="204" spans="1:22" ht="28.5" customHeight="1" x14ac:dyDescent="0.35">
      <c r="A204" s="36" t="s">
        <v>1101</v>
      </c>
      <c r="B204" s="66">
        <v>35151143476</v>
      </c>
      <c r="C204" s="66" t="s">
        <v>80</v>
      </c>
      <c r="D204" s="66" t="s">
        <v>1102</v>
      </c>
      <c r="E204" s="66" t="s">
        <v>90</v>
      </c>
      <c r="F204" s="66" t="s">
        <v>83</v>
      </c>
      <c r="G204" s="66">
        <v>2060</v>
      </c>
      <c r="H204" s="66" t="s">
        <v>1103</v>
      </c>
      <c r="I204" s="67" t="s">
        <v>1104</v>
      </c>
      <c r="J204" s="68" t="s">
        <v>1105</v>
      </c>
      <c r="K204" s="68" t="s">
        <v>1106</v>
      </c>
      <c r="L204" s="44"/>
      <c r="M204" s="45"/>
      <c r="N204" s="45"/>
      <c r="O204" s="45"/>
      <c r="P204" s="46"/>
      <c r="Q204" s="47"/>
      <c r="R204" s="48"/>
      <c r="S204" s="48"/>
      <c r="T204" s="48"/>
      <c r="U204" s="48"/>
      <c r="V204" s="49"/>
    </row>
    <row r="205" spans="1:22" ht="28.5" customHeight="1" x14ac:dyDescent="0.35">
      <c r="A205" s="36" t="s">
        <v>1107</v>
      </c>
      <c r="B205" s="66">
        <v>56605350650</v>
      </c>
      <c r="C205" s="66" t="s">
        <v>80</v>
      </c>
      <c r="D205" s="66" t="s">
        <v>1108</v>
      </c>
      <c r="E205" s="66" t="s">
        <v>580</v>
      </c>
      <c r="F205" s="66" t="s">
        <v>83</v>
      </c>
      <c r="G205" s="66" t="str">
        <f>"2230"</f>
        <v>2230</v>
      </c>
      <c r="H205" s="66"/>
      <c r="I205" s="66" t="str">
        <f>"0418274291"</f>
        <v>0418274291</v>
      </c>
      <c r="J205" s="68" t="s">
        <v>1109</v>
      </c>
      <c r="K205" s="68" t="s">
        <v>1110</v>
      </c>
      <c r="L205" s="44"/>
      <c r="M205" s="45"/>
      <c r="N205" s="45"/>
      <c r="O205" s="45"/>
      <c r="P205" s="46"/>
      <c r="Q205" s="47"/>
      <c r="R205" s="48"/>
      <c r="S205" s="48"/>
      <c r="T205" s="48"/>
      <c r="U205" s="48"/>
      <c r="V205" s="49"/>
    </row>
    <row r="206" spans="1:22" ht="28.5" customHeight="1" x14ac:dyDescent="0.35">
      <c r="A206" s="36" t="s">
        <v>1111</v>
      </c>
      <c r="B206" s="66">
        <v>45600161562</v>
      </c>
      <c r="C206" s="66" t="s">
        <v>80</v>
      </c>
      <c r="D206" s="66" t="s">
        <v>1112</v>
      </c>
      <c r="E206" s="66" t="s">
        <v>1113</v>
      </c>
      <c r="F206" s="66" t="s">
        <v>83</v>
      </c>
      <c r="G206" s="66" t="str">
        <f>"2037"</f>
        <v>2037</v>
      </c>
      <c r="H206" s="66"/>
      <c r="I206" s="66" t="str">
        <f>"0476057643"</f>
        <v>0476057643</v>
      </c>
      <c r="J206" s="68" t="s">
        <v>1114</v>
      </c>
      <c r="K206" s="68" t="s">
        <v>1115</v>
      </c>
      <c r="L206" s="44"/>
      <c r="M206" s="45"/>
      <c r="N206" s="45"/>
      <c r="O206" s="45"/>
      <c r="P206" s="46"/>
      <c r="Q206" s="47"/>
      <c r="R206" s="48"/>
      <c r="S206" s="48"/>
      <c r="T206" s="48"/>
      <c r="U206" s="48"/>
      <c r="V206" s="49"/>
    </row>
    <row r="207" spans="1:22" ht="28.5" customHeight="1" x14ac:dyDescent="0.35">
      <c r="A207" s="36" t="s">
        <v>1116</v>
      </c>
      <c r="B207" s="66">
        <v>11159886638</v>
      </c>
      <c r="C207" s="66" t="s">
        <v>80</v>
      </c>
      <c r="D207" s="66" t="s">
        <v>1117</v>
      </c>
      <c r="E207" s="66" t="s">
        <v>481</v>
      </c>
      <c r="F207" s="66" t="s">
        <v>83</v>
      </c>
      <c r="G207" s="66" t="str">
        <f>"2010"</f>
        <v>2010</v>
      </c>
      <c r="H207" s="66" t="str">
        <f>"02 8310 2393"</f>
        <v>02 8310 2393</v>
      </c>
      <c r="I207" s="66" t="str">
        <f>"0423672785"</f>
        <v>0423672785</v>
      </c>
      <c r="J207" s="68" t="s">
        <v>1118</v>
      </c>
      <c r="K207" s="68" t="s">
        <v>1119</v>
      </c>
      <c r="L207" s="44"/>
      <c r="M207" s="45"/>
      <c r="N207" s="45"/>
      <c r="O207" s="45"/>
      <c r="P207" s="46"/>
      <c r="Q207" s="47"/>
      <c r="R207" s="48"/>
      <c r="S207" s="48"/>
      <c r="T207" s="48"/>
      <c r="U207" s="48"/>
      <c r="V207" s="49"/>
    </row>
    <row r="208" spans="1:22" ht="28.5" customHeight="1" x14ac:dyDescent="0.35">
      <c r="A208" s="36" t="s">
        <v>1120</v>
      </c>
      <c r="B208" s="66">
        <v>59011033364</v>
      </c>
      <c r="C208" s="66" t="s">
        <v>80</v>
      </c>
      <c r="D208" s="66" t="s">
        <v>1121</v>
      </c>
      <c r="E208" s="66" t="s">
        <v>342</v>
      </c>
      <c r="F208" s="66" t="s">
        <v>83</v>
      </c>
      <c r="G208" s="66">
        <v>2000</v>
      </c>
      <c r="H208" s="66" t="s">
        <v>1122</v>
      </c>
      <c r="I208" s="67" t="s">
        <v>1123</v>
      </c>
      <c r="J208" s="68" t="s">
        <v>1124</v>
      </c>
      <c r="K208" s="68" t="s">
        <v>1125</v>
      </c>
      <c r="L208" s="44"/>
      <c r="M208" s="45"/>
      <c r="N208" s="45"/>
      <c r="O208" s="45"/>
      <c r="P208" s="46"/>
      <c r="Q208" s="47"/>
      <c r="R208" s="48"/>
      <c r="S208" s="48"/>
      <c r="T208" s="48"/>
      <c r="U208" s="48"/>
      <c r="V208" s="49"/>
    </row>
    <row r="209" spans="1:22" ht="28.5" customHeight="1" x14ac:dyDescent="0.35">
      <c r="A209" s="36" t="s">
        <v>1126</v>
      </c>
      <c r="B209" s="66">
        <v>86001720921</v>
      </c>
      <c r="C209" s="66" t="s">
        <v>80</v>
      </c>
      <c r="D209" s="66" t="s">
        <v>1127</v>
      </c>
      <c r="E209" s="66" t="s">
        <v>342</v>
      </c>
      <c r="F209" s="66" t="s">
        <v>83</v>
      </c>
      <c r="G209" s="66">
        <v>2009</v>
      </c>
      <c r="H209" s="67" t="s">
        <v>1128</v>
      </c>
      <c r="I209" s="67"/>
      <c r="J209" s="68" t="s">
        <v>1129</v>
      </c>
      <c r="K209" s="68" t="s">
        <v>1130</v>
      </c>
      <c r="L209" s="44"/>
      <c r="M209" s="45"/>
      <c r="N209" s="45"/>
      <c r="O209" s="45"/>
      <c r="P209" s="46"/>
      <c r="Q209" s="47"/>
      <c r="R209" s="48"/>
      <c r="S209" s="48"/>
      <c r="T209" s="48"/>
      <c r="U209" s="48"/>
      <c r="V209" s="49"/>
    </row>
    <row r="210" spans="1:22" ht="28.5" customHeight="1" x14ac:dyDescent="0.35">
      <c r="A210" s="36" t="s">
        <v>1131</v>
      </c>
      <c r="B210" s="66">
        <v>51141852422</v>
      </c>
      <c r="C210" s="66" t="s">
        <v>80</v>
      </c>
      <c r="D210" s="66" t="s">
        <v>1132</v>
      </c>
      <c r="E210" s="66" t="s">
        <v>263</v>
      </c>
      <c r="F210" s="66" t="s">
        <v>83</v>
      </c>
      <c r="G210" s="66" t="str">
        <f>"2009"</f>
        <v>2009</v>
      </c>
      <c r="H210" s="66" t="str">
        <f>"02 8866 2030"</f>
        <v>02 8866 2030</v>
      </c>
      <c r="I210" s="66" t="str">
        <f>"0417068856"</f>
        <v>0417068856</v>
      </c>
      <c r="J210" s="68" t="s">
        <v>1133</v>
      </c>
      <c r="K210" s="68" t="s">
        <v>1134</v>
      </c>
      <c r="L210" s="44"/>
      <c r="M210" s="45"/>
      <c r="N210" s="45"/>
      <c r="O210" s="45"/>
      <c r="P210" s="46"/>
      <c r="Q210" s="47"/>
      <c r="R210" s="48"/>
      <c r="S210" s="48"/>
      <c r="T210" s="48"/>
      <c r="U210" s="48"/>
      <c r="V210" s="49"/>
    </row>
    <row r="211" spans="1:22" ht="28.5" customHeight="1" x14ac:dyDescent="0.35">
      <c r="A211" s="36" t="s">
        <v>1135</v>
      </c>
      <c r="B211" s="66">
        <v>32164490233</v>
      </c>
      <c r="C211" s="66" t="s">
        <v>80</v>
      </c>
      <c r="D211" s="66" t="s">
        <v>1136</v>
      </c>
      <c r="E211" s="66" t="s">
        <v>90</v>
      </c>
      <c r="F211" s="66" t="s">
        <v>83</v>
      </c>
      <c r="G211" s="66" t="str">
        <f>"2041"</f>
        <v>2041</v>
      </c>
      <c r="H211" s="69"/>
      <c r="I211" s="66" t="str">
        <f>"0412900121"</f>
        <v>0412900121</v>
      </c>
      <c r="J211" s="68" t="s">
        <v>1137</v>
      </c>
      <c r="K211" s="68" t="s">
        <v>1138</v>
      </c>
      <c r="L211" s="44"/>
      <c r="M211" s="45"/>
      <c r="N211" s="45"/>
      <c r="O211" s="45"/>
      <c r="P211" s="46"/>
      <c r="Q211" s="47"/>
      <c r="R211" s="48"/>
      <c r="S211" s="48"/>
      <c r="T211" s="48"/>
      <c r="U211" s="48"/>
      <c r="V211" s="49"/>
    </row>
    <row r="212" spans="1:22" ht="28.5" customHeight="1" x14ac:dyDescent="0.35">
      <c r="A212" s="36" t="s">
        <v>1139</v>
      </c>
      <c r="B212" s="66">
        <v>76618622601</v>
      </c>
      <c r="C212" s="66" t="s">
        <v>80</v>
      </c>
      <c r="D212" s="66" t="s">
        <v>1140</v>
      </c>
      <c r="E212" s="66" t="s">
        <v>365</v>
      </c>
      <c r="F212" s="66" t="s">
        <v>83</v>
      </c>
      <c r="G212" s="66">
        <v>2010</v>
      </c>
      <c r="H212" s="67" t="s">
        <v>1141</v>
      </c>
      <c r="I212" s="66"/>
      <c r="J212" s="68" t="s">
        <v>1142</v>
      </c>
      <c r="K212" s="68" t="s">
        <v>1143</v>
      </c>
      <c r="L212" s="44"/>
      <c r="M212" s="45"/>
      <c r="N212" s="45"/>
      <c r="O212" s="45"/>
      <c r="P212" s="46"/>
      <c r="Q212" s="47"/>
      <c r="R212" s="48"/>
      <c r="S212" s="48"/>
      <c r="T212" s="48"/>
      <c r="U212" s="48"/>
      <c r="V212" s="49"/>
    </row>
    <row r="213" spans="1:22" ht="28.5" customHeight="1" x14ac:dyDescent="0.35">
      <c r="A213" s="36" t="s">
        <v>1144</v>
      </c>
      <c r="B213" s="66">
        <v>14160258328</v>
      </c>
      <c r="C213" s="66" t="s">
        <v>80</v>
      </c>
      <c r="D213" s="66" t="s">
        <v>1145</v>
      </c>
      <c r="E213" s="66" t="s">
        <v>335</v>
      </c>
      <c r="F213" s="66" t="s">
        <v>83</v>
      </c>
      <c r="G213" s="66">
        <v>2000</v>
      </c>
      <c r="H213" s="67" t="s">
        <v>1146</v>
      </c>
      <c r="I213" s="67" t="s">
        <v>1147</v>
      </c>
      <c r="J213" s="68" t="s">
        <v>1148</v>
      </c>
      <c r="K213" s="68" t="s">
        <v>1149</v>
      </c>
      <c r="L213" s="44"/>
      <c r="M213" s="45"/>
      <c r="N213" s="45"/>
      <c r="O213" s="45"/>
      <c r="P213" s="46"/>
      <c r="Q213" s="47"/>
      <c r="R213" s="48"/>
      <c r="S213" s="48"/>
      <c r="T213" s="48"/>
      <c r="U213" s="48"/>
      <c r="V213" s="49"/>
    </row>
    <row r="214" spans="1:22" ht="28.5" customHeight="1" x14ac:dyDescent="0.35">
      <c r="A214" s="36" t="s">
        <v>1150</v>
      </c>
      <c r="B214" s="66">
        <v>90169634431</v>
      </c>
      <c r="C214" s="66" t="s">
        <v>80</v>
      </c>
      <c r="D214" s="66" t="s">
        <v>1151</v>
      </c>
      <c r="E214" s="66" t="s">
        <v>1152</v>
      </c>
      <c r="F214" s="66" t="s">
        <v>115</v>
      </c>
      <c r="G214" s="66" t="str">
        <f>"4001"</f>
        <v>4001</v>
      </c>
      <c r="H214" s="66" t="str">
        <f>"1300 772 842"</f>
        <v>1300 772 842</v>
      </c>
      <c r="I214" s="66" t="str">
        <f>"0404023117"</f>
        <v>0404023117</v>
      </c>
      <c r="J214" s="68" t="s">
        <v>1153</v>
      </c>
      <c r="K214" s="68" t="s">
        <v>1154</v>
      </c>
      <c r="L214" s="44"/>
      <c r="M214" s="45"/>
      <c r="N214" s="45"/>
      <c r="O214" s="45"/>
      <c r="P214" s="46"/>
      <c r="Q214" s="47"/>
      <c r="R214" s="48"/>
      <c r="S214" s="48"/>
      <c r="T214" s="48"/>
      <c r="U214" s="48"/>
      <c r="V214" s="49"/>
    </row>
    <row r="215" spans="1:22" ht="28.5" customHeight="1" x14ac:dyDescent="0.35">
      <c r="A215" s="36" t="s">
        <v>1155</v>
      </c>
      <c r="B215" s="66">
        <v>91314398574</v>
      </c>
      <c r="C215" s="66" t="s">
        <v>80</v>
      </c>
      <c r="D215" s="66" t="s">
        <v>1156</v>
      </c>
      <c r="E215" s="66" t="s">
        <v>1157</v>
      </c>
      <c r="F215" s="66" t="s">
        <v>83</v>
      </c>
      <c r="G215" s="66">
        <v>2064</v>
      </c>
      <c r="H215" s="67"/>
      <c r="I215" s="67" t="s">
        <v>1158</v>
      </c>
      <c r="J215" s="68" t="s">
        <v>1159</v>
      </c>
      <c r="K215" s="68"/>
      <c r="L215" s="44"/>
      <c r="M215" s="45"/>
      <c r="N215" s="45"/>
      <c r="O215" s="45"/>
      <c r="P215" s="46"/>
      <c r="Q215" s="47" t="s">
        <v>87</v>
      </c>
      <c r="R215" s="48" t="s">
        <v>87</v>
      </c>
      <c r="S215" s="48"/>
      <c r="T215" s="48"/>
      <c r="U215" s="48"/>
      <c r="V215" s="49"/>
    </row>
    <row r="216" spans="1:22" ht="28.5" customHeight="1" x14ac:dyDescent="0.35">
      <c r="A216" s="72" t="s">
        <v>1160</v>
      </c>
      <c r="B216" s="69">
        <v>69169537142</v>
      </c>
      <c r="C216" s="69" t="s">
        <v>80</v>
      </c>
      <c r="D216" s="69" t="s">
        <v>1161</v>
      </c>
      <c r="E216" s="69" t="s">
        <v>152</v>
      </c>
      <c r="F216" s="69" t="s">
        <v>83</v>
      </c>
      <c r="G216" s="69">
        <v>2026</v>
      </c>
      <c r="H216" s="69"/>
      <c r="I216" s="71" t="s">
        <v>1162</v>
      </c>
      <c r="J216" s="70" t="s">
        <v>1163</v>
      </c>
      <c r="K216" s="70" t="s">
        <v>1164</v>
      </c>
      <c r="L216" s="44"/>
      <c r="M216" s="45"/>
      <c r="N216" s="45"/>
      <c r="O216" s="45"/>
      <c r="P216" s="46"/>
      <c r="Q216" s="47"/>
      <c r="R216" s="48"/>
      <c r="S216" s="48"/>
      <c r="T216" s="48"/>
      <c r="U216" s="48"/>
      <c r="V216" s="49"/>
    </row>
    <row r="217" spans="1:22" ht="28.5" customHeight="1" x14ac:dyDescent="0.35">
      <c r="A217" s="36" t="s">
        <v>1165</v>
      </c>
      <c r="B217" s="66">
        <v>78790088151</v>
      </c>
      <c r="C217" s="66" t="s">
        <v>80</v>
      </c>
      <c r="D217" s="66" t="s">
        <v>1166</v>
      </c>
      <c r="E217" s="66" t="s">
        <v>90</v>
      </c>
      <c r="F217" s="66" t="s">
        <v>83</v>
      </c>
      <c r="G217" s="66" t="str">
        <f>"2037"</f>
        <v>2037</v>
      </c>
      <c r="H217" s="66"/>
      <c r="I217" s="66" t="str">
        <f>"0408526089"</f>
        <v>0408526089</v>
      </c>
      <c r="J217" s="68" t="s">
        <v>1167</v>
      </c>
      <c r="K217" s="68" t="s">
        <v>1168</v>
      </c>
      <c r="L217" s="44"/>
      <c r="M217" s="45"/>
      <c r="N217" s="45"/>
      <c r="O217" s="45"/>
      <c r="P217" s="46"/>
      <c r="Q217" s="47"/>
      <c r="R217" s="48"/>
      <c r="S217" s="48"/>
      <c r="T217" s="48"/>
      <c r="U217" s="48"/>
      <c r="V217" s="49"/>
    </row>
    <row r="218" spans="1:22" ht="28.5" customHeight="1" x14ac:dyDescent="0.35">
      <c r="A218" s="36" t="s">
        <v>1169</v>
      </c>
      <c r="B218" s="66">
        <v>96166285534</v>
      </c>
      <c r="C218" s="66" t="s">
        <v>80</v>
      </c>
      <c r="D218" s="66" t="s">
        <v>1170</v>
      </c>
      <c r="E218" s="66" t="s">
        <v>1171</v>
      </c>
      <c r="F218" s="66" t="s">
        <v>83</v>
      </c>
      <c r="G218" s="66">
        <v>2000</v>
      </c>
      <c r="H218" s="66"/>
      <c r="I218" s="67" t="s">
        <v>1172</v>
      </c>
      <c r="J218" s="68" t="s">
        <v>1173</v>
      </c>
      <c r="K218" s="68" t="s">
        <v>1174</v>
      </c>
      <c r="L218" s="44"/>
      <c r="M218" s="45"/>
      <c r="N218" s="45"/>
      <c r="O218" s="45"/>
      <c r="P218" s="46"/>
      <c r="Q218" s="47"/>
      <c r="R218" s="48"/>
      <c r="S218" s="48"/>
      <c r="T218" s="48"/>
      <c r="U218" s="48"/>
      <c r="V218" s="49"/>
    </row>
    <row r="219" spans="1:22" ht="28.5" customHeight="1" x14ac:dyDescent="0.35">
      <c r="A219" s="36" t="s">
        <v>1175</v>
      </c>
      <c r="B219" s="66">
        <v>98008438828</v>
      </c>
      <c r="C219" s="66" t="s">
        <v>80</v>
      </c>
      <c r="D219" s="66" t="s">
        <v>1176</v>
      </c>
      <c r="E219" s="66" t="s">
        <v>342</v>
      </c>
      <c r="F219" s="66" t="s">
        <v>83</v>
      </c>
      <c r="G219" s="66" t="str">
        <f>"2010"</f>
        <v>2010</v>
      </c>
      <c r="H219" s="66" t="str">
        <f>"02 8114 6119"</f>
        <v>02 8114 6119</v>
      </c>
      <c r="I219" s="66" t="str">
        <f>"0432496024"</f>
        <v>0432496024</v>
      </c>
      <c r="J219" s="68" t="s">
        <v>1177</v>
      </c>
      <c r="K219" s="68" t="s">
        <v>1178</v>
      </c>
      <c r="L219" s="44"/>
      <c r="M219" s="45"/>
      <c r="N219" s="45"/>
      <c r="O219" s="45"/>
      <c r="P219" s="46"/>
      <c r="Q219" s="47"/>
      <c r="R219" s="48"/>
      <c r="S219" s="48"/>
      <c r="T219" s="48"/>
      <c r="U219" s="48"/>
      <c r="V219" s="49"/>
    </row>
    <row r="220" spans="1:22" ht="28.5" customHeight="1" x14ac:dyDescent="0.35">
      <c r="A220" s="72" t="s">
        <v>1179</v>
      </c>
      <c r="B220" s="69">
        <v>86002973640</v>
      </c>
      <c r="C220" s="69" t="s">
        <v>80</v>
      </c>
      <c r="D220" s="69" t="s">
        <v>1180</v>
      </c>
      <c r="E220" s="69" t="s">
        <v>90</v>
      </c>
      <c r="F220" s="69" t="s">
        <v>83</v>
      </c>
      <c r="G220" s="69">
        <v>2204</v>
      </c>
      <c r="H220" s="69" t="s">
        <v>1181</v>
      </c>
      <c r="I220" s="71" t="s">
        <v>1182</v>
      </c>
      <c r="J220" s="70" t="s">
        <v>1183</v>
      </c>
      <c r="K220" s="70" t="s">
        <v>1184</v>
      </c>
      <c r="L220" s="44"/>
      <c r="M220" s="45"/>
      <c r="N220" s="45"/>
      <c r="O220" s="45"/>
      <c r="P220" s="46"/>
      <c r="Q220" s="47"/>
      <c r="R220" s="48"/>
      <c r="S220" s="48"/>
      <c r="T220" s="48"/>
      <c r="U220" s="48"/>
      <c r="V220" s="49"/>
    </row>
    <row r="221" spans="1:22" ht="28.5" customHeight="1" x14ac:dyDescent="0.35">
      <c r="A221" s="36" t="s">
        <v>1185</v>
      </c>
      <c r="B221" s="66">
        <v>97144773553</v>
      </c>
      <c r="C221" s="66" t="s">
        <v>80</v>
      </c>
      <c r="D221" s="66" t="s">
        <v>1186</v>
      </c>
      <c r="E221" s="66" t="s">
        <v>90</v>
      </c>
      <c r="F221" s="66" t="s">
        <v>83</v>
      </c>
      <c r="G221" s="66" t="str">
        <f>"2107"</f>
        <v>2107</v>
      </c>
      <c r="H221" s="66"/>
      <c r="I221" s="66" t="str">
        <f>"0409446014"</f>
        <v>0409446014</v>
      </c>
      <c r="J221" s="68" t="s">
        <v>1187</v>
      </c>
      <c r="K221" s="68" t="s">
        <v>1188</v>
      </c>
      <c r="L221" s="44"/>
      <c r="M221" s="45"/>
      <c r="N221" s="45"/>
      <c r="O221" s="45"/>
      <c r="P221" s="46"/>
      <c r="Q221" s="47"/>
      <c r="R221" s="48"/>
      <c r="S221" s="48"/>
      <c r="T221" s="48"/>
      <c r="U221" s="48"/>
      <c r="V221" s="49"/>
    </row>
    <row r="222" spans="1:22" ht="28.5" customHeight="1" x14ac:dyDescent="0.35">
      <c r="A222" s="36" t="s">
        <v>1189</v>
      </c>
      <c r="B222" s="66">
        <v>14135090818</v>
      </c>
      <c r="C222" s="66" t="s">
        <v>80</v>
      </c>
      <c r="D222" s="66" t="s">
        <v>1190</v>
      </c>
      <c r="E222" s="66" t="s">
        <v>1191</v>
      </c>
      <c r="F222" s="66" t="s">
        <v>83</v>
      </c>
      <c r="G222" s="66" t="str">
        <f>"2533"</f>
        <v>2533</v>
      </c>
      <c r="H222" s="66"/>
      <c r="I222" s="66" t="str">
        <f>"0414487531"</f>
        <v>0414487531</v>
      </c>
      <c r="J222" s="68" t="s">
        <v>1192</v>
      </c>
      <c r="K222" s="68" t="s">
        <v>1193</v>
      </c>
      <c r="L222" s="44"/>
      <c r="M222" s="45"/>
      <c r="N222" s="45"/>
      <c r="O222" s="45"/>
      <c r="P222" s="46"/>
      <c r="Q222" s="47"/>
      <c r="R222" s="48"/>
      <c r="S222" s="48"/>
      <c r="T222" s="48"/>
      <c r="U222" s="48"/>
      <c r="V222" s="49"/>
    </row>
    <row r="223" spans="1:22" ht="28.5" customHeight="1" x14ac:dyDescent="0.35">
      <c r="A223" s="36" t="s">
        <v>1194</v>
      </c>
      <c r="B223" s="66">
        <v>97615439006</v>
      </c>
      <c r="C223" s="66" t="s">
        <v>80</v>
      </c>
      <c r="D223" s="66" t="s">
        <v>1195</v>
      </c>
      <c r="E223" s="66" t="s">
        <v>342</v>
      </c>
      <c r="F223" s="66" t="s">
        <v>83</v>
      </c>
      <c r="G223" s="66" t="str">
        <f>"2106"</f>
        <v>2106</v>
      </c>
      <c r="H223" s="66" t="str">
        <f>"02 9998 5333"</f>
        <v>02 9998 5333</v>
      </c>
      <c r="I223" s="66" t="str">
        <f>"0415238453"</f>
        <v>0415238453</v>
      </c>
      <c r="J223" s="68" t="s">
        <v>1196</v>
      </c>
      <c r="K223" s="68" t="s">
        <v>1197</v>
      </c>
      <c r="L223" s="44"/>
      <c r="M223" s="45"/>
      <c r="N223" s="45"/>
      <c r="O223" s="45"/>
      <c r="P223" s="46"/>
      <c r="Q223" s="47"/>
      <c r="R223" s="48"/>
      <c r="S223" s="48"/>
      <c r="T223" s="48"/>
      <c r="U223" s="48"/>
      <c r="V223" s="49"/>
    </row>
    <row r="224" spans="1:22" ht="28.5" customHeight="1" x14ac:dyDescent="0.35">
      <c r="A224" s="36" t="s">
        <v>1198</v>
      </c>
      <c r="B224" s="66">
        <v>28150492658</v>
      </c>
      <c r="C224" s="66" t="s">
        <v>80</v>
      </c>
      <c r="D224" s="66" t="s">
        <v>1199</v>
      </c>
      <c r="E224" s="66" t="s">
        <v>1079</v>
      </c>
      <c r="F224" s="66" t="s">
        <v>83</v>
      </c>
      <c r="G224" s="66">
        <v>2000</v>
      </c>
      <c r="H224" s="66" t="s">
        <v>1200</v>
      </c>
      <c r="I224" s="66" t="s">
        <v>1201</v>
      </c>
      <c r="J224" s="68" t="s">
        <v>1202</v>
      </c>
      <c r="K224" s="68" t="s">
        <v>1203</v>
      </c>
      <c r="L224" s="44"/>
      <c r="M224" s="45"/>
      <c r="N224" s="45"/>
      <c r="O224" s="45"/>
      <c r="P224" s="46"/>
      <c r="Q224" s="47"/>
      <c r="R224" s="48"/>
      <c r="S224" s="48"/>
      <c r="T224" s="48"/>
      <c r="U224" s="48"/>
      <c r="V224" s="49"/>
    </row>
    <row r="225" spans="1:22" ht="28.5" customHeight="1" x14ac:dyDescent="0.35">
      <c r="A225" s="72" t="s">
        <v>1204</v>
      </c>
      <c r="B225" s="69">
        <v>14166205732</v>
      </c>
      <c r="C225" s="69" t="s">
        <v>80</v>
      </c>
      <c r="D225" s="69" t="s">
        <v>1205</v>
      </c>
      <c r="E225" s="69" t="s">
        <v>132</v>
      </c>
      <c r="F225" s="69" t="s">
        <v>83</v>
      </c>
      <c r="G225" s="69">
        <v>2302</v>
      </c>
      <c r="H225" s="69" t="s">
        <v>1206</v>
      </c>
      <c r="I225" s="71" t="s">
        <v>1207</v>
      </c>
      <c r="J225" s="70" t="s">
        <v>1208</v>
      </c>
      <c r="K225" s="70" t="s">
        <v>1209</v>
      </c>
      <c r="L225" s="44"/>
      <c r="M225" s="45"/>
      <c r="N225" s="45"/>
      <c r="O225" s="45"/>
      <c r="P225" s="46"/>
      <c r="Q225" s="47"/>
      <c r="R225" s="48"/>
      <c r="S225" s="48"/>
      <c r="T225" s="48"/>
      <c r="U225" s="48"/>
      <c r="V225" s="49"/>
    </row>
    <row r="226" spans="1:22" ht="28.5" customHeight="1" x14ac:dyDescent="0.35">
      <c r="A226" s="36" t="s">
        <v>1210</v>
      </c>
      <c r="B226" s="66">
        <v>64626442788</v>
      </c>
      <c r="C226" s="66" t="s">
        <v>80</v>
      </c>
      <c r="D226" s="66" t="s">
        <v>1211</v>
      </c>
      <c r="E226" s="66" t="s">
        <v>132</v>
      </c>
      <c r="F226" s="66" t="s">
        <v>83</v>
      </c>
      <c r="G226" s="66" t="str">
        <f>"2549"</f>
        <v>2549</v>
      </c>
      <c r="H226" s="66" t="str">
        <f>"02 8091 4124"</f>
        <v>02 8091 4124</v>
      </c>
      <c r="I226" s="66" t="str">
        <f>"0428243539"</f>
        <v>0428243539</v>
      </c>
      <c r="J226" s="68" t="s">
        <v>1212</v>
      </c>
      <c r="K226" s="68" t="s">
        <v>1213</v>
      </c>
      <c r="L226" s="44"/>
      <c r="M226" s="45"/>
      <c r="N226" s="45"/>
      <c r="O226" s="45"/>
      <c r="P226" s="46"/>
      <c r="Q226" s="47"/>
      <c r="R226" s="48"/>
      <c r="S226" s="48"/>
      <c r="T226" s="48"/>
      <c r="U226" s="48"/>
      <c r="V226" s="49"/>
    </row>
    <row r="227" spans="1:22" ht="28.5" customHeight="1" x14ac:dyDescent="0.35">
      <c r="A227" s="36" t="s">
        <v>1214</v>
      </c>
      <c r="B227" s="66">
        <v>53071461875</v>
      </c>
      <c r="C227" s="66" t="s">
        <v>80</v>
      </c>
      <c r="D227" s="66" t="s">
        <v>1215</v>
      </c>
      <c r="E227" s="66" t="s">
        <v>132</v>
      </c>
      <c r="F227" s="66" t="s">
        <v>83</v>
      </c>
      <c r="G227" s="66" t="str">
        <f>"2009"</f>
        <v>2009</v>
      </c>
      <c r="H227" s="66"/>
      <c r="I227" s="66" t="str">
        <f>"0478075006"</f>
        <v>0478075006</v>
      </c>
      <c r="J227" s="68" t="s">
        <v>1216</v>
      </c>
      <c r="K227" s="68" t="s">
        <v>1217</v>
      </c>
      <c r="L227" s="44"/>
      <c r="M227" s="45"/>
      <c r="N227" s="45"/>
      <c r="O227" s="45"/>
      <c r="P227" s="46"/>
      <c r="Q227" s="47"/>
      <c r="R227" s="48"/>
      <c r="S227" s="48"/>
      <c r="T227" s="48"/>
      <c r="U227" s="48"/>
      <c r="V227" s="49"/>
    </row>
    <row r="228" spans="1:22" ht="28.5" customHeight="1" x14ac:dyDescent="0.35">
      <c r="A228" s="36" t="s">
        <v>1218</v>
      </c>
      <c r="B228" s="66">
        <v>66159158657</v>
      </c>
      <c r="C228" s="66" t="s">
        <v>80</v>
      </c>
      <c r="D228" s="66" t="s">
        <v>1219</v>
      </c>
      <c r="E228" s="66" t="s">
        <v>1220</v>
      </c>
      <c r="F228" s="66" t="s">
        <v>83</v>
      </c>
      <c r="G228" s="66" t="str">
        <f>"2011"</f>
        <v>2011</v>
      </c>
      <c r="H228" s="66"/>
      <c r="I228" s="66" t="str">
        <f>"0467441841"</f>
        <v>0467441841</v>
      </c>
      <c r="J228" s="68" t="s">
        <v>1221</v>
      </c>
      <c r="K228" s="68" t="s">
        <v>1222</v>
      </c>
      <c r="L228" s="44"/>
      <c r="M228" s="45"/>
      <c r="N228" s="45"/>
      <c r="O228" s="45"/>
      <c r="P228" s="46"/>
      <c r="Q228" s="47"/>
      <c r="R228" s="48"/>
      <c r="S228" s="48"/>
      <c r="T228" s="48"/>
      <c r="U228" s="48"/>
      <c r="V228" s="49"/>
    </row>
    <row r="229" spans="1:22" ht="28.5" customHeight="1" x14ac:dyDescent="0.35">
      <c r="A229" s="36" t="s">
        <v>1223</v>
      </c>
      <c r="B229" s="66">
        <v>32162123391</v>
      </c>
      <c r="C229" s="66" t="s">
        <v>80</v>
      </c>
      <c r="D229" s="66" t="s">
        <v>1224</v>
      </c>
      <c r="E229" s="66" t="s">
        <v>90</v>
      </c>
      <c r="F229" s="66" t="s">
        <v>83</v>
      </c>
      <c r="G229" s="66" t="str">
        <f>"2065"</f>
        <v>2065</v>
      </c>
      <c r="H229" s="66" t="str">
        <f>"02 9438 5983"</f>
        <v>02 9438 5983</v>
      </c>
      <c r="I229" s="66" t="str">
        <f>"0424509219"</f>
        <v>0424509219</v>
      </c>
      <c r="J229" s="68" t="s">
        <v>1225</v>
      </c>
      <c r="K229" s="68" t="s">
        <v>1226</v>
      </c>
      <c r="L229" s="44"/>
      <c r="M229" s="45"/>
      <c r="N229" s="45"/>
      <c r="O229" s="45"/>
      <c r="P229" s="46"/>
      <c r="Q229" s="47"/>
      <c r="R229" s="48"/>
      <c r="S229" s="48"/>
      <c r="T229" s="48"/>
      <c r="U229" s="48"/>
      <c r="V229" s="49"/>
    </row>
    <row r="230" spans="1:22" ht="28.5" customHeight="1" x14ac:dyDescent="0.35">
      <c r="A230" s="36" t="s">
        <v>1227</v>
      </c>
      <c r="B230" s="66">
        <v>68607527686</v>
      </c>
      <c r="C230" s="66" t="s">
        <v>80</v>
      </c>
      <c r="D230" s="66" t="s">
        <v>1228</v>
      </c>
      <c r="E230" s="66" t="s">
        <v>90</v>
      </c>
      <c r="F230" s="66" t="s">
        <v>379</v>
      </c>
      <c r="G230" s="66" t="str">
        <f>"3168"</f>
        <v>3168</v>
      </c>
      <c r="H230" s="66" t="str">
        <f>"03 9585 2299"</f>
        <v>03 9585 2299</v>
      </c>
      <c r="I230" s="66" t="str">
        <f>"0407112646"</f>
        <v>0407112646</v>
      </c>
      <c r="J230" s="68" t="s">
        <v>1229</v>
      </c>
      <c r="K230" s="68" t="s">
        <v>1230</v>
      </c>
      <c r="L230" s="44"/>
      <c r="M230" s="45"/>
      <c r="N230" s="45"/>
      <c r="O230" s="45"/>
      <c r="P230" s="46"/>
      <c r="Q230" s="47"/>
      <c r="R230" s="48"/>
      <c r="S230" s="48"/>
      <c r="T230" s="48"/>
      <c r="U230" s="48"/>
      <c r="V230" s="49"/>
    </row>
    <row r="231" spans="1:22" ht="28.5" customHeight="1" x14ac:dyDescent="0.35">
      <c r="A231" s="36" t="s">
        <v>1231</v>
      </c>
      <c r="B231" s="66">
        <v>58027166475</v>
      </c>
      <c r="C231" s="66" t="s">
        <v>80</v>
      </c>
      <c r="D231" s="66" t="s">
        <v>1232</v>
      </c>
      <c r="E231" s="66" t="s">
        <v>152</v>
      </c>
      <c r="F231" s="66" t="s">
        <v>379</v>
      </c>
      <c r="G231" s="66">
        <v>3132</v>
      </c>
      <c r="H231" s="67" t="s">
        <v>1233</v>
      </c>
      <c r="I231" s="67" t="s">
        <v>1234</v>
      </c>
      <c r="J231" s="68" t="s">
        <v>1235</v>
      </c>
      <c r="K231" s="68" t="s">
        <v>1236</v>
      </c>
      <c r="L231" s="44"/>
      <c r="M231" s="45"/>
      <c r="N231" s="45"/>
      <c r="O231" s="45"/>
      <c r="P231" s="46"/>
      <c r="Q231" s="47" t="s">
        <v>87</v>
      </c>
      <c r="R231" s="48" t="s">
        <v>87</v>
      </c>
      <c r="S231" s="48" t="s">
        <v>87</v>
      </c>
      <c r="T231" s="48" t="s">
        <v>87</v>
      </c>
      <c r="U231" s="48" t="s">
        <v>87</v>
      </c>
      <c r="V231" s="49" t="s">
        <v>87</v>
      </c>
    </row>
    <row r="232" spans="1:22" ht="28.5" customHeight="1" x14ac:dyDescent="0.35">
      <c r="A232" s="36" t="s">
        <v>1237</v>
      </c>
      <c r="B232" s="66">
        <v>13601560909</v>
      </c>
      <c r="C232" s="66" t="s">
        <v>80</v>
      </c>
      <c r="D232" s="66" t="s">
        <v>1238</v>
      </c>
      <c r="E232" s="66" t="s">
        <v>132</v>
      </c>
      <c r="F232" s="66" t="s">
        <v>83</v>
      </c>
      <c r="G232" s="66">
        <v>2010</v>
      </c>
      <c r="H232" s="67"/>
      <c r="I232" s="67" t="s">
        <v>1239</v>
      </c>
      <c r="J232" s="68" t="s">
        <v>1240</v>
      </c>
      <c r="K232" s="68" t="s">
        <v>1241</v>
      </c>
      <c r="L232" s="44"/>
      <c r="M232" s="45"/>
      <c r="N232" s="45"/>
      <c r="O232" s="45"/>
      <c r="P232" s="46"/>
      <c r="Q232" s="47"/>
      <c r="R232" s="48"/>
      <c r="S232" s="48"/>
      <c r="T232" s="48"/>
      <c r="U232" s="48"/>
      <c r="V232" s="49"/>
    </row>
    <row r="233" spans="1:22" ht="28.5" customHeight="1" x14ac:dyDescent="0.35">
      <c r="A233" s="36" t="s">
        <v>1242</v>
      </c>
      <c r="B233" s="66">
        <v>35008417874</v>
      </c>
      <c r="C233" s="66" t="s">
        <v>80</v>
      </c>
      <c r="D233" s="66" t="s">
        <v>1243</v>
      </c>
      <c r="E233" s="66" t="s">
        <v>1244</v>
      </c>
      <c r="F233" s="66" t="s">
        <v>83</v>
      </c>
      <c r="G233" s="66" t="str">
        <f>"2113"</f>
        <v>2113</v>
      </c>
      <c r="H233" s="66" t="str">
        <f>"02 8873 7000"</f>
        <v>02 8873 7000</v>
      </c>
      <c r="I233" s="66" t="str">
        <f>"0419305134"</f>
        <v>0419305134</v>
      </c>
      <c r="J233" s="68" t="s">
        <v>1245</v>
      </c>
      <c r="K233" s="68" t="s">
        <v>1246</v>
      </c>
      <c r="L233" s="44"/>
      <c r="M233" s="45"/>
      <c r="N233" s="45"/>
      <c r="O233" s="45"/>
      <c r="P233" s="46"/>
      <c r="Q233" s="47"/>
      <c r="R233" s="48"/>
      <c r="S233" s="48"/>
      <c r="T233" s="48"/>
      <c r="U233" s="48"/>
      <c r="V233" s="49"/>
    </row>
    <row r="234" spans="1:22" ht="28.5" customHeight="1" x14ac:dyDescent="0.35">
      <c r="A234" s="36" t="s">
        <v>1247</v>
      </c>
      <c r="B234" s="66">
        <v>36102213794</v>
      </c>
      <c r="C234" s="66" t="s">
        <v>80</v>
      </c>
      <c r="D234" s="66" t="s">
        <v>1248</v>
      </c>
      <c r="E234" s="66" t="s">
        <v>1249</v>
      </c>
      <c r="F234" s="66" t="s">
        <v>83</v>
      </c>
      <c r="G234" s="66">
        <v>2000</v>
      </c>
      <c r="H234" s="66"/>
      <c r="I234" s="67" t="s">
        <v>1250</v>
      </c>
      <c r="J234" s="68" t="s">
        <v>1251</v>
      </c>
      <c r="K234" s="68" t="s">
        <v>1252</v>
      </c>
      <c r="L234" s="44"/>
      <c r="M234" s="45"/>
      <c r="N234" s="45"/>
      <c r="O234" s="45"/>
      <c r="P234" s="46"/>
      <c r="Q234" s="47"/>
      <c r="R234" s="48"/>
      <c r="S234" s="48"/>
      <c r="T234" s="48"/>
      <c r="U234" s="48"/>
      <c r="V234" s="49"/>
    </row>
    <row r="235" spans="1:22" ht="28.5" customHeight="1" x14ac:dyDescent="0.35">
      <c r="A235" s="36" t="s">
        <v>1253</v>
      </c>
      <c r="B235" s="66">
        <v>99618397658</v>
      </c>
      <c r="C235" s="66" t="s">
        <v>80</v>
      </c>
      <c r="D235" s="66" t="s">
        <v>1254</v>
      </c>
      <c r="E235" s="66" t="s">
        <v>528</v>
      </c>
      <c r="F235" s="66" t="s">
        <v>83</v>
      </c>
      <c r="G235" s="66" t="str">
        <f>"2010"</f>
        <v>2010</v>
      </c>
      <c r="H235" s="66" t="s">
        <v>1255</v>
      </c>
      <c r="I235" s="67" t="s">
        <v>1256</v>
      </c>
      <c r="J235" s="68" t="s">
        <v>1257</v>
      </c>
      <c r="K235" s="68" t="s">
        <v>1258</v>
      </c>
      <c r="L235" s="44"/>
      <c r="M235" s="45"/>
      <c r="N235" s="45"/>
      <c r="O235" s="45"/>
      <c r="P235" s="46"/>
      <c r="Q235" s="47"/>
      <c r="R235" s="48"/>
      <c r="S235" s="48"/>
      <c r="T235" s="48"/>
      <c r="U235" s="48"/>
      <c r="V235" s="49"/>
    </row>
    <row r="236" spans="1:22" ht="28.5" customHeight="1" x14ac:dyDescent="0.35">
      <c r="A236" s="36" t="s">
        <v>1259</v>
      </c>
      <c r="B236" s="66">
        <v>31168055918</v>
      </c>
      <c r="C236" s="66" t="s">
        <v>80</v>
      </c>
      <c r="D236" s="66" t="s">
        <v>1260</v>
      </c>
      <c r="E236" s="66" t="s">
        <v>132</v>
      </c>
      <c r="F236" s="66" t="s">
        <v>83</v>
      </c>
      <c r="G236" s="66" t="str">
        <f>"2000"</f>
        <v>2000</v>
      </c>
      <c r="H236" s="66" t="str">
        <f>"1300 780 100"</f>
        <v>1300 780 100</v>
      </c>
      <c r="I236" s="66" t="str">
        <f>"0405113861"</f>
        <v>0405113861</v>
      </c>
      <c r="J236" s="68" t="s">
        <v>1261</v>
      </c>
      <c r="K236" s="68" t="s">
        <v>1262</v>
      </c>
      <c r="L236" s="44"/>
      <c r="M236" s="45"/>
      <c r="N236" s="45"/>
      <c r="O236" s="45"/>
      <c r="P236" s="46"/>
      <c r="Q236" s="47"/>
      <c r="R236" s="48"/>
      <c r="S236" s="48"/>
      <c r="T236" s="48"/>
      <c r="U236" s="48"/>
      <c r="V236" s="49"/>
    </row>
    <row r="237" spans="1:22" ht="28.5" customHeight="1" x14ac:dyDescent="0.35">
      <c r="A237" s="72" t="s">
        <v>1263</v>
      </c>
      <c r="B237" s="69">
        <v>67137826432</v>
      </c>
      <c r="C237" s="69" t="s">
        <v>80</v>
      </c>
      <c r="D237" s="69" t="s">
        <v>1264</v>
      </c>
      <c r="E237" s="69" t="s">
        <v>973</v>
      </c>
      <c r="F237" s="69" t="s">
        <v>83</v>
      </c>
      <c r="G237" s="69">
        <v>2022</v>
      </c>
      <c r="H237" s="69" t="s">
        <v>1265</v>
      </c>
      <c r="I237" s="71" t="s">
        <v>1266</v>
      </c>
      <c r="J237" s="70" t="s">
        <v>1267</v>
      </c>
      <c r="K237" s="70" t="s">
        <v>1268</v>
      </c>
      <c r="L237" s="44"/>
      <c r="M237" s="45"/>
      <c r="N237" s="45"/>
      <c r="O237" s="45"/>
      <c r="P237" s="46"/>
      <c r="Q237" s="47"/>
      <c r="R237" s="48"/>
      <c r="S237" s="48"/>
      <c r="T237" s="48"/>
      <c r="U237" s="48"/>
      <c r="V237" s="49"/>
    </row>
    <row r="238" spans="1:22" ht="28.5" customHeight="1" x14ac:dyDescent="0.35">
      <c r="A238" s="36" t="s">
        <v>1269</v>
      </c>
      <c r="B238" s="66">
        <v>51169387286</v>
      </c>
      <c r="C238" s="66" t="s">
        <v>80</v>
      </c>
      <c r="D238" s="66" t="s">
        <v>1270</v>
      </c>
      <c r="E238" s="66" t="s">
        <v>1271</v>
      </c>
      <c r="F238" s="66" t="s">
        <v>83</v>
      </c>
      <c r="G238" s="66" t="str">
        <f>"2000"</f>
        <v>2000</v>
      </c>
      <c r="H238" s="66" t="str">
        <f>"02 9360 0099"</f>
        <v>02 9360 0099</v>
      </c>
      <c r="I238" s="66" t="str">
        <f>"0432472042"</f>
        <v>0432472042</v>
      </c>
      <c r="J238" s="68" t="s">
        <v>1272</v>
      </c>
      <c r="K238" s="68" t="s">
        <v>1273</v>
      </c>
      <c r="L238" s="44"/>
      <c r="M238" s="45"/>
      <c r="N238" s="45"/>
      <c r="O238" s="45"/>
      <c r="P238" s="46"/>
      <c r="Q238" s="47"/>
      <c r="R238" s="48"/>
      <c r="S238" s="48"/>
      <c r="T238" s="48"/>
      <c r="U238" s="48"/>
      <c r="V238" s="49"/>
    </row>
    <row r="239" spans="1:22" ht="28.5" customHeight="1" x14ac:dyDescent="0.35">
      <c r="A239" s="36" t="s">
        <v>1274</v>
      </c>
      <c r="B239" s="66">
        <v>41651216465</v>
      </c>
      <c r="C239" s="66" t="s">
        <v>80</v>
      </c>
      <c r="D239" s="66" t="s">
        <v>1275</v>
      </c>
      <c r="E239" s="66" t="s">
        <v>580</v>
      </c>
      <c r="F239" s="66" t="s">
        <v>83</v>
      </c>
      <c r="G239" s="66">
        <v>2000</v>
      </c>
      <c r="H239" s="67" t="s">
        <v>1276</v>
      </c>
      <c r="I239" s="66">
        <v>418708663</v>
      </c>
      <c r="J239" s="68" t="s">
        <v>1277</v>
      </c>
      <c r="K239" s="68" t="s">
        <v>1278</v>
      </c>
      <c r="L239" s="44"/>
      <c r="M239" s="45"/>
      <c r="N239" s="45"/>
      <c r="O239" s="45"/>
      <c r="P239" s="46"/>
      <c r="Q239" s="47"/>
      <c r="R239" s="48"/>
      <c r="S239" s="48"/>
      <c r="T239" s="48"/>
      <c r="U239" s="48"/>
      <c r="V239" s="49"/>
    </row>
    <row r="240" spans="1:22" ht="28.5" customHeight="1" x14ac:dyDescent="0.35">
      <c r="A240" s="36" t="s">
        <v>1279</v>
      </c>
      <c r="B240" s="66">
        <v>60530592074</v>
      </c>
      <c r="C240" s="66" t="s">
        <v>80</v>
      </c>
      <c r="D240" s="66" t="s">
        <v>1280</v>
      </c>
      <c r="E240" s="66" t="s">
        <v>132</v>
      </c>
      <c r="F240" s="66" t="s">
        <v>83</v>
      </c>
      <c r="G240" s="66">
        <v>2134</v>
      </c>
      <c r="H240" s="81" t="s">
        <v>1281</v>
      </c>
      <c r="I240" s="67" t="s">
        <v>1282</v>
      </c>
      <c r="J240" s="68" t="s">
        <v>1283</v>
      </c>
      <c r="K240" s="68" t="s">
        <v>1284</v>
      </c>
      <c r="L240" s="44"/>
      <c r="M240" s="45"/>
      <c r="N240" s="45"/>
      <c r="O240" s="45"/>
      <c r="P240" s="46"/>
      <c r="Q240" s="47"/>
      <c r="R240" s="48"/>
      <c r="S240" s="48"/>
      <c r="T240" s="48"/>
      <c r="U240" s="48"/>
      <c r="V240" s="49"/>
    </row>
    <row r="241" spans="1:22" ht="28.5" customHeight="1" x14ac:dyDescent="0.35">
      <c r="A241" s="36" t="s">
        <v>1285</v>
      </c>
      <c r="B241" s="66">
        <v>46606398458</v>
      </c>
      <c r="C241" s="66" t="s">
        <v>80</v>
      </c>
      <c r="D241" s="66" t="s">
        <v>1286</v>
      </c>
      <c r="E241" s="66" t="s">
        <v>1287</v>
      </c>
      <c r="F241" s="66" t="s">
        <v>83</v>
      </c>
      <c r="G241" s="66" t="str">
        <f>"2031"</f>
        <v>2031</v>
      </c>
      <c r="H241" s="66" t="str">
        <f>"02 4341 9623"</f>
        <v>02 4341 9623</v>
      </c>
      <c r="I241" s="66" t="str">
        <f>"0412482161"</f>
        <v>0412482161</v>
      </c>
      <c r="J241" s="68" t="s">
        <v>1288</v>
      </c>
      <c r="K241" s="68" t="s">
        <v>1289</v>
      </c>
      <c r="L241" s="44"/>
      <c r="M241" s="45"/>
      <c r="N241" s="45"/>
      <c r="O241" s="45"/>
      <c r="P241" s="46"/>
      <c r="Q241" s="47"/>
      <c r="R241" s="48"/>
      <c r="S241" s="48"/>
      <c r="T241" s="48"/>
      <c r="U241" s="48"/>
      <c r="V241" s="49"/>
    </row>
    <row r="242" spans="1:22" ht="28.5" customHeight="1" x14ac:dyDescent="0.35">
      <c r="A242" s="36" t="s">
        <v>1290</v>
      </c>
      <c r="B242" s="66">
        <v>89628470920</v>
      </c>
      <c r="C242" s="66" t="s">
        <v>80</v>
      </c>
      <c r="D242" s="66" t="s">
        <v>1291</v>
      </c>
      <c r="E242" s="66" t="s">
        <v>90</v>
      </c>
      <c r="F242" s="66" t="s">
        <v>83</v>
      </c>
      <c r="G242" s="66" t="str">
        <f>"2830"</f>
        <v>2830</v>
      </c>
      <c r="H242" s="66"/>
      <c r="I242" s="66" t="str">
        <f>"0428058549"</f>
        <v>0428058549</v>
      </c>
      <c r="J242" s="68" t="s">
        <v>1292</v>
      </c>
      <c r="K242" s="68" t="s">
        <v>1293</v>
      </c>
      <c r="L242" s="44"/>
      <c r="M242" s="45"/>
      <c r="N242" s="45"/>
      <c r="O242" s="45"/>
      <c r="P242" s="46"/>
      <c r="Q242" s="47"/>
      <c r="R242" s="48"/>
      <c r="S242" s="48"/>
      <c r="T242" s="48"/>
      <c r="U242" s="48"/>
      <c r="V242" s="49"/>
    </row>
    <row r="243" spans="1:22" ht="28.5" customHeight="1" x14ac:dyDescent="0.35">
      <c r="A243" s="36" t="s">
        <v>1294</v>
      </c>
      <c r="B243" s="66">
        <v>36128792816</v>
      </c>
      <c r="C243" s="66" t="s">
        <v>80</v>
      </c>
      <c r="D243" s="66" t="s">
        <v>1295</v>
      </c>
      <c r="E243" s="66" t="s">
        <v>90</v>
      </c>
      <c r="F243" s="66" t="s">
        <v>83</v>
      </c>
      <c r="G243" s="66">
        <v>2067</v>
      </c>
      <c r="H243" s="67" t="s">
        <v>1296</v>
      </c>
      <c r="I243" s="67" t="s">
        <v>1297</v>
      </c>
      <c r="J243" s="68" t="s">
        <v>1298</v>
      </c>
      <c r="K243" s="68" t="s">
        <v>1299</v>
      </c>
      <c r="L243" s="44"/>
      <c r="M243" s="45"/>
      <c r="N243" s="45"/>
      <c r="O243" s="45"/>
      <c r="P243" s="46"/>
      <c r="Q243" s="47"/>
      <c r="R243" s="48"/>
      <c r="S243" s="48"/>
      <c r="T243" s="48"/>
      <c r="U243" s="48"/>
      <c r="V243" s="49"/>
    </row>
    <row r="244" spans="1:22" ht="28.5" customHeight="1" x14ac:dyDescent="0.35">
      <c r="A244" s="72" t="s">
        <v>1300</v>
      </c>
      <c r="B244" s="69" t="s">
        <v>1301</v>
      </c>
      <c r="C244" s="69" t="s">
        <v>80</v>
      </c>
      <c r="D244" s="69" t="s">
        <v>1302</v>
      </c>
      <c r="E244" s="69" t="s">
        <v>152</v>
      </c>
      <c r="F244" s="69" t="s">
        <v>379</v>
      </c>
      <c r="G244" s="69">
        <v>3000</v>
      </c>
      <c r="H244" s="69"/>
      <c r="I244" s="71" t="s">
        <v>1303</v>
      </c>
      <c r="J244" s="70" t="s">
        <v>1304</v>
      </c>
      <c r="K244" s="70" t="s">
        <v>1305</v>
      </c>
      <c r="L244" s="44"/>
      <c r="M244" s="45"/>
      <c r="N244" s="45"/>
      <c r="O244" s="45"/>
      <c r="P244" s="46"/>
      <c r="Q244" s="47"/>
      <c r="R244" s="48"/>
      <c r="S244" s="48"/>
      <c r="T244" s="48"/>
      <c r="U244" s="48"/>
      <c r="V244" s="49"/>
    </row>
    <row r="245" spans="1:22" ht="28.5" customHeight="1" x14ac:dyDescent="0.35">
      <c r="A245" s="36" t="s">
        <v>1306</v>
      </c>
      <c r="B245" s="66">
        <v>23612937863</v>
      </c>
      <c r="C245" s="66" t="s">
        <v>80</v>
      </c>
      <c r="D245" s="66" t="s">
        <v>1307</v>
      </c>
      <c r="E245" s="66" t="s">
        <v>90</v>
      </c>
      <c r="F245" s="66" t="s">
        <v>83</v>
      </c>
      <c r="G245" s="66" t="str">
        <f>"2010"</f>
        <v>2010</v>
      </c>
      <c r="H245" s="66" t="str">
        <f>"02 9318 1771"</f>
        <v>02 9318 1771</v>
      </c>
      <c r="I245" s="66" t="str">
        <f>"0414881676"</f>
        <v>0414881676</v>
      </c>
      <c r="J245" s="68" t="s">
        <v>1308</v>
      </c>
      <c r="K245" s="68" t="s">
        <v>1309</v>
      </c>
      <c r="L245" s="44"/>
      <c r="M245" s="45"/>
      <c r="N245" s="45"/>
      <c r="O245" s="45"/>
      <c r="P245" s="46"/>
      <c r="Q245" s="47"/>
      <c r="R245" s="48"/>
      <c r="S245" s="48"/>
      <c r="T245" s="48"/>
      <c r="U245" s="48"/>
      <c r="V245" s="49"/>
    </row>
    <row r="246" spans="1:22" ht="28.5" customHeight="1" x14ac:dyDescent="0.35">
      <c r="A246" s="36" t="s">
        <v>1310</v>
      </c>
      <c r="B246" s="66">
        <v>78002739951</v>
      </c>
      <c r="C246" s="66" t="s">
        <v>80</v>
      </c>
      <c r="D246" s="66" t="s">
        <v>1311</v>
      </c>
      <c r="E246" s="66" t="s">
        <v>594</v>
      </c>
      <c r="F246" s="66" t="s">
        <v>83</v>
      </c>
      <c r="G246" s="66" t="str">
        <f>"2016"</f>
        <v>2016</v>
      </c>
      <c r="H246" s="66" t="str">
        <f>"02 8966 5000"</f>
        <v>02 8966 5000</v>
      </c>
      <c r="I246" s="66" t="str">
        <f>""</f>
        <v/>
      </c>
      <c r="J246" s="68" t="s">
        <v>1312</v>
      </c>
      <c r="K246" s="68" t="s">
        <v>1313</v>
      </c>
      <c r="L246" s="44"/>
      <c r="M246" s="45"/>
      <c r="N246" s="45"/>
      <c r="O246" s="45"/>
      <c r="P246" s="46"/>
      <c r="Q246" s="47"/>
      <c r="R246" s="48"/>
      <c r="S246" s="48"/>
      <c r="T246" s="48"/>
      <c r="U246" s="48"/>
      <c r="V246" s="49"/>
    </row>
    <row r="247" spans="1:22" ht="28.5" customHeight="1" x14ac:dyDescent="0.35">
      <c r="A247" s="36" t="s">
        <v>1314</v>
      </c>
      <c r="B247" s="66">
        <v>57644577426</v>
      </c>
      <c r="C247" s="66" t="s">
        <v>80</v>
      </c>
      <c r="D247" s="66" t="s">
        <v>1315</v>
      </c>
      <c r="E247" s="66" t="s">
        <v>1316</v>
      </c>
      <c r="F247" s="66" t="s">
        <v>83</v>
      </c>
      <c r="G247" s="66">
        <v>2024</v>
      </c>
      <c r="H247" s="67"/>
      <c r="I247" s="67" t="s">
        <v>1317</v>
      </c>
      <c r="J247" s="68" t="s">
        <v>1318</v>
      </c>
      <c r="K247" s="68" t="s">
        <v>1319</v>
      </c>
      <c r="L247" s="44"/>
      <c r="M247" s="45"/>
      <c r="N247" s="45"/>
      <c r="O247" s="45"/>
      <c r="P247" s="46"/>
      <c r="Q247" s="47"/>
      <c r="R247" s="48"/>
      <c r="S247" s="48"/>
      <c r="T247" s="48"/>
      <c r="U247" s="48"/>
      <c r="V247" s="49"/>
    </row>
    <row r="248" spans="1:22" ht="28.5" customHeight="1" x14ac:dyDescent="0.35">
      <c r="A248" s="36" t="s">
        <v>1320</v>
      </c>
      <c r="B248" s="66">
        <v>67117645708</v>
      </c>
      <c r="C248" s="66" t="s">
        <v>80</v>
      </c>
      <c r="D248" s="66" t="s">
        <v>1321</v>
      </c>
      <c r="E248" s="66" t="s">
        <v>1322</v>
      </c>
      <c r="F248" s="66" t="s">
        <v>83</v>
      </c>
      <c r="G248" s="66">
        <v>2020</v>
      </c>
      <c r="H248" s="66"/>
      <c r="I248" s="67" t="s">
        <v>1323</v>
      </c>
      <c r="J248" s="68" t="s">
        <v>1324</v>
      </c>
      <c r="K248" s="68" t="s">
        <v>1325</v>
      </c>
      <c r="L248" s="44"/>
      <c r="M248" s="45"/>
      <c r="N248" s="45"/>
      <c r="O248" s="45"/>
      <c r="P248" s="46"/>
      <c r="Q248" s="47"/>
      <c r="R248" s="48"/>
      <c r="S248" s="48"/>
      <c r="T248" s="48"/>
      <c r="U248" s="48"/>
      <c r="V248" s="49"/>
    </row>
    <row r="249" spans="1:22" ht="28.5" customHeight="1" x14ac:dyDescent="0.35">
      <c r="A249" s="36" t="s">
        <v>1326</v>
      </c>
      <c r="B249" s="66">
        <v>33616095277</v>
      </c>
      <c r="C249" s="66" t="s">
        <v>80</v>
      </c>
      <c r="D249" s="66" t="s">
        <v>1327</v>
      </c>
      <c r="E249" s="66" t="s">
        <v>152</v>
      </c>
      <c r="F249" s="66" t="s">
        <v>83</v>
      </c>
      <c r="G249" s="66">
        <v>2010</v>
      </c>
      <c r="H249" s="67"/>
      <c r="I249" s="67" t="s">
        <v>1328</v>
      </c>
      <c r="J249" s="68" t="s">
        <v>1329</v>
      </c>
      <c r="K249" s="68" t="s">
        <v>1330</v>
      </c>
      <c r="L249" s="44"/>
      <c r="M249" s="45"/>
      <c r="N249" s="45"/>
      <c r="O249" s="45"/>
      <c r="P249" s="46"/>
      <c r="Q249" s="47"/>
      <c r="R249" s="48"/>
      <c r="S249" s="48"/>
      <c r="T249" s="48"/>
      <c r="U249" s="48"/>
      <c r="V249" s="49"/>
    </row>
    <row r="250" spans="1:22" ht="28.5" customHeight="1" x14ac:dyDescent="0.35">
      <c r="A250" s="36" t="s">
        <v>1331</v>
      </c>
      <c r="B250" s="66">
        <v>16609658531</v>
      </c>
      <c r="C250" s="66" t="s">
        <v>80</v>
      </c>
      <c r="D250" s="66" t="s">
        <v>1332</v>
      </c>
      <c r="E250" s="66" t="s">
        <v>1333</v>
      </c>
      <c r="F250" s="66" t="s">
        <v>115</v>
      </c>
      <c r="G250" s="66">
        <v>4000</v>
      </c>
      <c r="H250" s="67"/>
      <c r="I250" s="67" t="s">
        <v>1334</v>
      </c>
      <c r="J250" s="68" t="s">
        <v>1335</v>
      </c>
      <c r="K250" s="68" t="s">
        <v>1336</v>
      </c>
      <c r="L250" s="44"/>
      <c r="M250" s="45"/>
      <c r="N250" s="45"/>
      <c r="O250" s="45"/>
      <c r="P250" s="46"/>
      <c r="Q250" s="47"/>
      <c r="R250" s="48"/>
      <c r="S250" s="48"/>
      <c r="T250" s="48"/>
      <c r="U250" s="48"/>
      <c r="V250" s="49"/>
    </row>
    <row r="251" spans="1:22" ht="28.5" customHeight="1" x14ac:dyDescent="0.35">
      <c r="A251" s="36" t="s">
        <v>1337</v>
      </c>
      <c r="B251" s="66">
        <v>76105146174</v>
      </c>
      <c r="C251" s="66" t="s">
        <v>80</v>
      </c>
      <c r="D251" s="66" t="s">
        <v>1338</v>
      </c>
      <c r="E251" s="66" t="s">
        <v>1339</v>
      </c>
      <c r="F251" s="66" t="s">
        <v>379</v>
      </c>
      <c r="G251" s="66">
        <v>3124</v>
      </c>
      <c r="H251" s="67" t="s">
        <v>1340</v>
      </c>
      <c r="I251" s="67" t="s">
        <v>1341</v>
      </c>
      <c r="J251" s="68" t="s">
        <v>1342</v>
      </c>
      <c r="K251" s="68" t="s">
        <v>1343</v>
      </c>
      <c r="L251" s="44"/>
      <c r="M251" s="45"/>
      <c r="N251" s="45"/>
      <c r="O251" s="45"/>
      <c r="P251" s="46"/>
      <c r="Q251" s="47"/>
      <c r="R251" s="48"/>
      <c r="S251" s="48"/>
      <c r="T251" s="48"/>
      <c r="U251" s="48"/>
      <c r="V251" s="49"/>
    </row>
    <row r="252" spans="1:22" ht="28.5" customHeight="1" x14ac:dyDescent="0.35">
      <c r="A252" s="36" t="s">
        <v>1344</v>
      </c>
      <c r="B252" s="66">
        <v>56089330441</v>
      </c>
      <c r="C252" s="66" t="s">
        <v>80</v>
      </c>
      <c r="D252" s="66" t="s">
        <v>1345</v>
      </c>
      <c r="E252" s="66" t="s">
        <v>365</v>
      </c>
      <c r="F252" s="66" t="s">
        <v>83</v>
      </c>
      <c r="G252" s="66">
        <v>2010</v>
      </c>
      <c r="H252" s="67" t="s">
        <v>1346</v>
      </c>
      <c r="I252" s="67" t="s">
        <v>1347</v>
      </c>
      <c r="J252" s="68" t="s">
        <v>1348</v>
      </c>
      <c r="K252" s="68" t="s">
        <v>1349</v>
      </c>
      <c r="L252" s="44"/>
      <c r="M252" s="45"/>
      <c r="N252" s="45"/>
      <c r="O252" s="45"/>
      <c r="P252" s="46"/>
      <c r="Q252" s="47"/>
      <c r="R252" s="48"/>
      <c r="S252" s="48"/>
      <c r="T252" s="48"/>
      <c r="U252" s="48"/>
      <c r="V252" s="49"/>
    </row>
    <row r="253" spans="1:22" ht="28.5" customHeight="1" x14ac:dyDescent="0.35">
      <c r="A253" s="72" t="s">
        <v>1350</v>
      </c>
      <c r="B253" s="69">
        <v>54644512596</v>
      </c>
      <c r="C253" s="69" t="s">
        <v>80</v>
      </c>
      <c r="D253" s="69" t="s">
        <v>1351</v>
      </c>
      <c r="E253" s="69" t="s">
        <v>90</v>
      </c>
      <c r="F253" s="69" t="s">
        <v>83</v>
      </c>
      <c r="G253" s="69">
        <v>2021</v>
      </c>
      <c r="H253" s="71" t="s">
        <v>1352</v>
      </c>
      <c r="I253" s="71" t="s">
        <v>1352</v>
      </c>
      <c r="J253" s="70" t="s">
        <v>1353</v>
      </c>
      <c r="K253" s="70" t="s">
        <v>1354</v>
      </c>
      <c r="L253" s="44"/>
      <c r="M253" s="45"/>
      <c r="N253" s="45"/>
      <c r="O253" s="45"/>
      <c r="P253" s="46"/>
      <c r="Q253" s="47"/>
      <c r="R253" s="48"/>
      <c r="S253" s="48"/>
      <c r="T253" s="48"/>
      <c r="U253" s="48"/>
      <c r="V253" s="49"/>
    </row>
    <row r="254" spans="1:22" ht="28.5" customHeight="1" x14ac:dyDescent="0.35">
      <c r="A254" s="36" t="s">
        <v>1355</v>
      </c>
      <c r="B254" s="66">
        <v>78143087852</v>
      </c>
      <c r="C254" s="66" t="s">
        <v>80</v>
      </c>
      <c r="D254" s="66" t="s">
        <v>1356</v>
      </c>
      <c r="E254" s="66" t="s">
        <v>1357</v>
      </c>
      <c r="F254" s="66" t="s">
        <v>83</v>
      </c>
      <c r="G254" s="66" t="str">
        <f>"2008"</f>
        <v>2008</v>
      </c>
      <c r="H254" s="66" t="str">
        <f>"02 9046 3710"</f>
        <v>02 9046 3710</v>
      </c>
      <c r="I254" s="66" t="str">
        <f>"0421162362"</f>
        <v>0421162362</v>
      </c>
      <c r="J254" s="68" t="s">
        <v>1358</v>
      </c>
      <c r="K254" s="68" t="s">
        <v>1359</v>
      </c>
      <c r="L254" s="44"/>
      <c r="M254" s="45"/>
      <c r="N254" s="45"/>
      <c r="O254" s="45"/>
      <c r="P254" s="46"/>
      <c r="Q254" s="47"/>
      <c r="R254" s="48"/>
      <c r="S254" s="48"/>
      <c r="T254" s="48"/>
      <c r="U254" s="48"/>
      <c r="V254" s="49"/>
    </row>
    <row r="255" spans="1:22" ht="28.5" customHeight="1" x14ac:dyDescent="0.35">
      <c r="A255" s="36" t="s">
        <v>1360</v>
      </c>
      <c r="B255" s="66">
        <v>16005728530</v>
      </c>
      <c r="C255" s="66" t="s">
        <v>80</v>
      </c>
      <c r="D255" s="66" t="s">
        <v>1361</v>
      </c>
      <c r="E255" s="66" t="s">
        <v>1362</v>
      </c>
      <c r="F255" s="66" t="s">
        <v>83</v>
      </c>
      <c r="G255" s="66">
        <v>2000</v>
      </c>
      <c r="H255" s="66" t="str">
        <f>"02 9237 2821"</f>
        <v>02 9237 2821</v>
      </c>
      <c r="I255" s="66" t="str">
        <f>"0466856460"</f>
        <v>0466856460</v>
      </c>
      <c r="J255" s="68" t="s">
        <v>1363</v>
      </c>
      <c r="K255" s="68" t="s">
        <v>1364</v>
      </c>
      <c r="L255" s="44"/>
      <c r="M255" s="45"/>
      <c r="N255" s="45"/>
      <c r="O255" s="45"/>
      <c r="P255" s="46"/>
      <c r="Q255" s="47"/>
      <c r="R255" s="48"/>
      <c r="S255" s="48"/>
      <c r="T255" s="48"/>
      <c r="U255" s="48"/>
      <c r="V255" s="49"/>
    </row>
    <row r="256" spans="1:22" ht="28.5" customHeight="1" x14ac:dyDescent="0.35">
      <c r="A256" s="36" t="s">
        <v>1365</v>
      </c>
      <c r="B256" s="66">
        <v>70624104632</v>
      </c>
      <c r="C256" s="66" t="s">
        <v>80</v>
      </c>
      <c r="D256" s="66" t="s">
        <v>1366</v>
      </c>
      <c r="E256" s="66" t="s">
        <v>132</v>
      </c>
      <c r="F256" s="66" t="s">
        <v>83</v>
      </c>
      <c r="G256" s="66">
        <v>2008</v>
      </c>
      <c r="H256" s="66"/>
      <c r="I256" s="67" t="s">
        <v>1367</v>
      </c>
      <c r="J256" s="68" t="s">
        <v>1368</v>
      </c>
      <c r="K256" s="68" t="s">
        <v>1369</v>
      </c>
      <c r="L256" s="44"/>
      <c r="M256" s="45"/>
      <c r="N256" s="45"/>
      <c r="O256" s="45"/>
      <c r="P256" s="46"/>
      <c r="Q256" s="47"/>
      <c r="R256" s="48"/>
      <c r="S256" s="48"/>
      <c r="T256" s="48"/>
      <c r="U256" s="48"/>
      <c r="V256" s="49"/>
    </row>
    <row r="257" spans="1:22" ht="28.5" customHeight="1" x14ac:dyDescent="0.35">
      <c r="A257" s="36" t="s">
        <v>1370</v>
      </c>
      <c r="B257" s="66">
        <v>36139106460</v>
      </c>
      <c r="C257" s="66" t="s">
        <v>80</v>
      </c>
      <c r="D257" s="66" t="s">
        <v>1371</v>
      </c>
      <c r="E257" s="66" t="s">
        <v>90</v>
      </c>
      <c r="F257" s="66" t="s">
        <v>83</v>
      </c>
      <c r="G257" s="66">
        <v>2795</v>
      </c>
      <c r="H257" s="66"/>
      <c r="I257" s="67" t="s">
        <v>1372</v>
      </c>
      <c r="J257" s="68" t="s">
        <v>1373</v>
      </c>
      <c r="K257" s="68" t="s">
        <v>1374</v>
      </c>
      <c r="L257" s="44"/>
      <c r="M257" s="45"/>
      <c r="N257" s="45"/>
      <c r="O257" s="45"/>
      <c r="P257" s="46"/>
      <c r="Q257" s="47"/>
      <c r="R257" s="48"/>
      <c r="S257" s="48"/>
      <c r="T257" s="48"/>
      <c r="U257" s="48"/>
      <c r="V257" s="49"/>
    </row>
    <row r="258" spans="1:22" ht="28.5" customHeight="1" x14ac:dyDescent="0.35">
      <c r="A258" s="36" t="s">
        <v>1375</v>
      </c>
      <c r="B258" s="66">
        <v>15614960397</v>
      </c>
      <c r="C258" s="66" t="s">
        <v>80</v>
      </c>
      <c r="D258" s="66" t="s">
        <v>1376</v>
      </c>
      <c r="E258" s="66" t="s">
        <v>1377</v>
      </c>
      <c r="F258" s="66" t="s">
        <v>83</v>
      </c>
      <c r="G258" s="66">
        <v>2016</v>
      </c>
      <c r="H258" s="66"/>
      <c r="I258" s="67" t="s">
        <v>1378</v>
      </c>
      <c r="J258" s="68" t="s">
        <v>1379</v>
      </c>
      <c r="K258" s="68" t="s">
        <v>1380</v>
      </c>
      <c r="L258" s="44"/>
      <c r="M258" s="45"/>
      <c r="N258" s="45"/>
      <c r="O258" s="45"/>
      <c r="P258" s="46"/>
      <c r="Q258" s="47"/>
      <c r="R258" s="48"/>
      <c r="S258" s="48"/>
      <c r="T258" s="48"/>
      <c r="U258" s="48"/>
      <c r="V258" s="49"/>
    </row>
    <row r="259" spans="1:22" ht="28.5" customHeight="1" x14ac:dyDescent="0.35">
      <c r="A259" s="36" t="s">
        <v>1381</v>
      </c>
      <c r="B259" s="66">
        <v>52159456685</v>
      </c>
      <c r="C259" s="66" t="s">
        <v>80</v>
      </c>
      <c r="D259" s="66" t="s">
        <v>1382</v>
      </c>
      <c r="E259" s="66" t="s">
        <v>1383</v>
      </c>
      <c r="F259" s="66" t="s">
        <v>83</v>
      </c>
      <c r="G259" s="66" t="str">
        <f>"2060"</f>
        <v>2060</v>
      </c>
      <c r="H259" s="66" t="str">
        <f>"02 8904 9991"</f>
        <v>02 8904 9991</v>
      </c>
      <c r="I259" s="66" t="str">
        <f>"0408887742"</f>
        <v>0408887742</v>
      </c>
      <c r="J259" s="68" t="s">
        <v>1384</v>
      </c>
      <c r="K259" s="68" t="s">
        <v>1385</v>
      </c>
      <c r="L259" s="44"/>
      <c r="M259" s="45"/>
      <c r="N259" s="45"/>
      <c r="O259" s="45"/>
      <c r="P259" s="46"/>
      <c r="Q259" s="47"/>
      <c r="R259" s="48"/>
      <c r="S259" s="48"/>
      <c r="T259" s="48"/>
      <c r="U259" s="48"/>
      <c r="V259" s="49"/>
    </row>
    <row r="260" spans="1:22" ht="28.5" customHeight="1" x14ac:dyDescent="0.35">
      <c r="A260" s="36" t="s">
        <v>1386</v>
      </c>
      <c r="B260" s="66">
        <v>37034186688</v>
      </c>
      <c r="C260" s="66" t="s">
        <v>80</v>
      </c>
      <c r="D260" s="66" t="s">
        <v>1387</v>
      </c>
      <c r="E260" s="66" t="s">
        <v>930</v>
      </c>
      <c r="F260" s="66" t="s">
        <v>83</v>
      </c>
      <c r="G260" s="66" t="str">
        <f>"2500"</f>
        <v>2500</v>
      </c>
      <c r="H260" s="66" t="str">
        <f>"02 4285 3545"</f>
        <v>02 4285 3545</v>
      </c>
      <c r="I260" s="66" t="str">
        <f>"0418452088"</f>
        <v>0418452088</v>
      </c>
      <c r="J260" s="68" t="s">
        <v>1388</v>
      </c>
      <c r="K260" s="68" t="s">
        <v>1389</v>
      </c>
      <c r="L260" s="44"/>
      <c r="M260" s="45"/>
      <c r="N260" s="45"/>
      <c r="O260" s="45"/>
      <c r="P260" s="46"/>
      <c r="Q260" s="47" t="s">
        <v>87</v>
      </c>
      <c r="R260" s="48" t="s">
        <v>87</v>
      </c>
      <c r="S260" s="48" t="s">
        <v>87</v>
      </c>
      <c r="T260" s="48" t="s">
        <v>87</v>
      </c>
      <c r="U260" s="48" t="s">
        <v>87</v>
      </c>
      <c r="V260" s="49" t="s">
        <v>87</v>
      </c>
    </row>
    <row r="261" spans="1:22" ht="28.5" customHeight="1" x14ac:dyDescent="0.35">
      <c r="A261" s="36" t="s">
        <v>1390</v>
      </c>
      <c r="B261" s="66">
        <v>77168408400</v>
      </c>
      <c r="C261" s="66" t="s">
        <v>80</v>
      </c>
      <c r="D261" s="66" t="s">
        <v>1391</v>
      </c>
      <c r="E261" s="66" t="s">
        <v>1392</v>
      </c>
      <c r="F261" s="66" t="s">
        <v>107</v>
      </c>
      <c r="G261" s="66" t="str">
        <f>"2601"</f>
        <v>2601</v>
      </c>
      <c r="H261" s="66" t="str">
        <f>"02 6210 1400"</f>
        <v>02 6210 1400</v>
      </c>
      <c r="I261" s="66" t="str">
        <f>"0409224861"</f>
        <v>0409224861</v>
      </c>
      <c r="J261" s="68" t="s">
        <v>1393</v>
      </c>
      <c r="K261" s="68" t="s">
        <v>1394</v>
      </c>
      <c r="L261" s="44"/>
      <c r="M261" s="45"/>
      <c r="N261" s="45"/>
      <c r="O261" s="45"/>
      <c r="P261" s="46"/>
      <c r="Q261" s="47"/>
      <c r="R261" s="48"/>
      <c r="S261" s="48"/>
      <c r="T261" s="48"/>
      <c r="U261" s="48"/>
      <c r="V261" s="49"/>
    </row>
    <row r="262" spans="1:22" ht="28.5" customHeight="1" x14ac:dyDescent="0.35">
      <c r="A262" s="36" t="s">
        <v>1395</v>
      </c>
      <c r="B262" s="66">
        <v>54738720964</v>
      </c>
      <c r="C262" s="66" t="s">
        <v>80</v>
      </c>
      <c r="D262" s="66" t="s">
        <v>1396</v>
      </c>
      <c r="E262" s="66" t="s">
        <v>1397</v>
      </c>
      <c r="F262" s="66" t="s">
        <v>83</v>
      </c>
      <c r="G262" s="66">
        <v>2081</v>
      </c>
      <c r="H262" s="67" t="s">
        <v>1398</v>
      </c>
      <c r="I262" s="67" t="s">
        <v>1399</v>
      </c>
      <c r="J262" s="68" t="s">
        <v>1400</v>
      </c>
      <c r="K262" s="66" t="s">
        <v>1401</v>
      </c>
      <c r="L262" s="44"/>
      <c r="M262" s="45"/>
      <c r="N262" s="45"/>
      <c r="O262" s="45"/>
      <c r="P262" s="46"/>
      <c r="Q262" s="47"/>
      <c r="R262" s="48"/>
      <c r="S262" s="48"/>
      <c r="T262" s="48"/>
      <c r="U262" s="48"/>
      <c r="V262" s="49"/>
    </row>
    <row r="263" spans="1:22" ht="28.5" customHeight="1" x14ac:dyDescent="0.35">
      <c r="A263" s="36" t="s">
        <v>1402</v>
      </c>
      <c r="B263" s="66">
        <v>26140291434</v>
      </c>
      <c r="C263" s="66" t="s">
        <v>80</v>
      </c>
      <c r="D263" s="66" t="s">
        <v>1403</v>
      </c>
      <c r="E263" s="66" t="s">
        <v>132</v>
      </c>
      <c r="F263" s="66" t="s">
        <v>83</v>
      </c>
      <c r="G263" s="66" t="str">
        <f>"2000"</f>
        <v>2000</v>
      </c>
      <c r="H263" s="66" t="str">
        <f>"02 8114 9900"</f>
        <v>02 8114 9900</v>
      </c>
      <c r="I263" s="66" t="str">
        <f>"0414426636"</f>
        <v>0414426636</v>
      </c>
      <c r="J263" s="68" t="s">
        <v>1404</v>
      </c>
      <c r="K263" s="68" t="s">
        <v>1405</v>
      </c>
      <c r="L263" s="44"/>
      <c r="M263" s="45"/>
      <c r="N263" s="45"/>
      <c r="O263" s="45"/>
      <c r="P263" s="46"/>
      <c r="Q263" s="47"/>
      <c r="R263" s="48"/>
      <c r="S263" s="48"/>
      <c r="T263" s="48"/>
      <c r="U263" s="48"/>
      <c r="V263" s="49"/>
    </row>
    <row r="264" spans="1:22" ht="28.5" customHeight="1" x14ac:dyDescent="0.35">
      <c r="A264" s="36" t="s">
        <v>1406</v>
      </c>
      <c r="B264" s="66">
        <v>47056510868</v>
      </c>
      <c r="C264" s="66" t="s">
        <v>80</v>
      </c>
      <c r="D264" s="66" t="s">
        <v>1407</v>
      </c>
      <c r="E264" s="66" t="s">
        <v>1408</v>
      </c>
      <c r="F264" s="66" t="s">
        <v>83</v>
      </c>
      <c r="G264" s="66">
        <v>2060</v>
      </c>
      <c r="H264" s="66" t="str">
        <f>"02 9947 2222"</f>
        <v>02 9947 2222</v>
      </c>
      <c r="I264" s="66" t="str">
        <f>"0410563639"</f>
        <v>0410563639</v>
      </c>
      <c r="J264" s="68" t="s">
        <v>1409</v>
      </c>
      <c r="K264" s="68" t="s">
        <v>1410</v>
      </c>
      <c r="L264" s="44"/>
      <c r="M264" s="45"/>
      <c r="N264" s="45"/>
      <c r="O264" s="45"/>
      <c r="P264" s="46"/>
      <c r="Q264" s="47"/>
      <c r="R264" s="48"/>
      <c r="S264" s="48"/>
      <c r="T264" s="48"/>
      <c r="U264" s="48"/>
      <c r="V264" s="49"/>
    </row>
    <row r="265" spans="1:22" ht="28.5" customHeight="1" x14ac:dyDescent="0.35">
      <c r="A265" s="36" t="s">
        <v>1411</v>
      </c>
      <c r="B265" s="66">
        <v>97641035869</v>
      </c>
      <c r="C265" s="66" t="s">
        <v>80</v>
      </c>
      <c r="D265" s="66" t="s">
        <v>1412</v>
      </c>
      <c r="E265" s="66" t="s">
        <v>1152</v>
      </c>
      <c r="F265" s="66" t="s">
        <v>83</v>
      </c>
      <c r="G265" s="66">
        <f>2009</f>
        <v>2009</v>
      </c>
      <c r="H265" s="66"/>
      <c r="I265" s="67" t="s">
        <v>1413</v>
      </c>
      <c r="J265" s="68" t="s">
        <v>1414</v>
      </c>
      <c r="K265" s="68" t="s">
        <v>1415</v>
      </c>
      <c r="L265" s="44"/>
      <c r="M265" s="45"/>
      <c r="N265" s="45"/>
      <c r="O265" s="45"/>
      <c r="P265" s="46"/>
      <c r="Q265" s="47"/>
      <c r="R265" s="48"/>
      <c r="S265" s="48"/>
      <c r="T265" s="48"/>
      <c r="U265" s="48"/>
      <c r="V265" s="49"/>
    </row>
    <row r="266" spans="1:22" ht="28.5" customHeight="1" x14ac:dyDescent="0.35">
      <c r="A266" s="36" t="s">
        <v>1416</v>
      </c>
      <c r="B266" s="66">
        <v>94163367020</v>
      </c>
      <c r="C266" s="66" t="s">
        <v>80</v>
      </c>
      <c r="D266" s="66" t="s">
        <v>1417</v>
      </c>
      <c r="E266" s="66" t="s">
        <v>90</v>
      </c>
      <c r="F266" s="66" t="s">
        <v>83</v>
      </c>
      <c r="G266" s="66" t="str">
        <f>"2000"</f>
        <v>2000</v>
      </c>
      <c r="H266" s="66" t="str">
        <f>"02 9221 3219"</f>
        <v>02 9221 3219</v>
      </c>
      <c r="I266" s="66" t="str">
        <f>"0410528245"</f>
        <v>0410528245</v>
      </c>
      <c r="J266" s="68" t="s">
        <v>1418</v>
      </c>
      <c r="K266" s="68" t="s">
        <v>1419</v>
      </c>
      <c r="L266" s="44"/>
      <c r="M266" s="45"/>
      <c r="N266" s="45"/>
      <c r="O266" s="45"/>
      <c r="P266" s="46"/>
      <c r="Q266" s="47"/>
      <c r="R266" s="48"/>
      <c r="S266" s="48"/>
      <c r="T266" s="48"/>
      <c r="U266" s="48"/>
      <c r="V266" s="49"/>
    </row>
    <row r="267" spans="1:22" ht="28.5" customHeight="1" x14ac:dyDescent="0.35">
      <c r="A267" s="36" t="s">
        <v>1420</v>
      </c>
      <c r="B267" s="66">
        <v>42092197469</v>
      </c>
      <c r="C267" s="66" t="s">
        <v>80</v>
      </c>
      <c r="D267" s="66" t="s">
        <v>1421</v>
      </c>
      <c r="E267" s="66" t="s">
        <v>299</v>
      </c>
      <c r="F267" s="66" t="s">
        <v>83</v>
      </c>
      <c r="G267" s="66" t="str">
        <f>"2018"</f>
        <v>2018</v>
      </c>
      <c r="H267" s="66" t="str">
        <f>"02 9212 6777"</f>
        <v>02 9212 6777</v>
      </c>
      <c r="I267" s="66" t="str">
        <f>"0422551990"</f>
        <v>0422551990</v>
      </c>
      <c r="J267" s="68" t="s">
        <v>1422</v>
      </c>
      <c r="K267" s="68" t="s">
        <v>1423</v>
      </c>
      <c r="L267" s="44"/>
      <c r="M267" s="45"/>
      <c r="N267" s="45"/>
      <c r="O267" s="45"/>
      <c r="P267" s="46"/>
      <c r="Q267" s="47"/>
      <c r="R267" s="48"/>
      <c r="S267" s="48"/>
      <c r="T267" s="48"/>
      <c r="U267" s="48"/>
      <c r="V267" s="49"/>
    </row>
  </sheetData>
  <autoFilter ref="A3:V267" xr:uid="{C7DB280D-3D05-4566-9B40-83B6EA699E1F}"/>
  <mergeCells count="13">
    <mergeCell ref="F2:F3"/>
    <mergeCell ref="A2:A3"/>
    <mergeCell ref="B2:B3"/>
    <mergeCell ref="C2:C3"/>
    <mergeCell ref="D2:D3"/>
    <mergeCell ref="E2:E3"/>
    <mergeCell ref="L2:P2"/>
    <mergeCell ref="Q2:V2"/>
    <mergeCell ref="G2:G3"/>
    <mergeCell ref="H2:H3"/>
    <mergeCell ref="I2:I3"/>
    <mergeCell ref="J2:J3"/>
    <mergeCell ref="K2:K3"/>
  </mergeCells>
  <hyperlinks>
    <hyperlink ref="J229" r:id="rId1" xr:uid="{F2EB53EC-0A71-471F-8F19-A408CDB7E0CF}"/>
    <hyperlink ref="K229" r:id="rId2" display="http://www.theideashed.com/" xr:uid="{8156341D-F52A-437D-AADF-2619E207505B}"/>
    <hyperlink ref="J211" r:id="rId3" xr:uid="{78F45B28-284B-4191-9EEA-A9EA1955BDE7}"/>
    <hyperlink ref="K211" r:id="rId4" display="http://danielsoekov.com" xr:uid="{316955F1-8769-440B-887F-60F77E0E56DD}"/>
    <hyperlink ref="J19" r:id="rId5" xr:uid="{0D46D233-5DD5-43CD-ACBD-03C83CA84833}"/>
    <hyperlink ref="K19" r:id="rId6" xr:uid="{F011E611-CD04-4020-8AFD-116348B1DE52}"/>
    <hyperlink ref="J206" r:id="rId7" xr:uid="{9F5743C3-378B-4D46-B3FB-DE189ED1AC06}"/>
    <hyperlink ref="K206" r:id="rId8" display="http://www.resolvestrategic.com/" xr:uid="{7E25C5CC-4E1C-483A-A697-32213467FFBA}"/>
    <hyperlink ref="J15" r:id="rId9" xr:uid="{69D50F20-3167-4523-A8FF-8F67A734EA37}"/>
    <hyperlink ref="K15" r:id="rId10" display="http://www.aenima.com.au" xr:uid="{0393F21F-DF35-4880-998E-6935223E6CAC}"/>
    <hyperlink ref="J42" r:id="rId11" xr:uid="{E4411DA2-8E1A-40FD-94B3-01415DCC33E4}"/>
    <hyperlink ref="K42" r:id="rId12" display="http://www.brandfaction.com.au" xr:uid="{C60EA2D9-AAE4-4F43-AA4E-5E73ECB59597}"/>
    <hyperlink ref="K5" r:id="rId13" display="http://33creative.com.au" xr:uid="{E7737700-0180-4180-B4FC-8D690B296527}"/>
    <hyperlink ref="J5" r:id="rId14" xr:uid="{945771C0-D444-4E0C-B829-572D6B0AB501}"/>
    <hyperlink ref="J52" r:id="rId15" xr:uid="{A2A048B3-51F3-4F27-B712-A29D278F70A7}"/>
    <hyperlink ref="K52" r:id="rId16" display="http://www.catobrandpartners.com" xr:uid="{869AF188-EA9A-4B7C-9ED9-EBD9974A5BE2}"/>
    <hyperlink ref="J131" r:id="rId17" xr:uid="{5A18ADA7-E341-46F1-B2D5-1F8D1356948E}"/>
    <hyperlink ref="K131" r:id="rId18" display="http://www.immediate.net.au" xr:uid="{9F7982C4-87B5-4918-B219-9702199B39CE}"/>
    <hyperlink ref="J49" r:id="rId19" xr:uid="{80979C49-5FBD-442F-A23D-FAC825008179}"/>
    <hyperlink ref="K49" r:id="rId20" display="http://www.capturecreative.com.au/" xr:uid="{E42049C5-2A4D-4D12-B602-9BC922421339}"/>
    <hyperlink ref="J197" r:id="rId21" xr:uid="{BF4C109A-B9F6-4168-9187-FE12588EF001}"/>
    <hyperlink ref="K197" r:id="rId22" xr:uid="{97A02471-1CD7-420A-BBFE-6966F208F8E9}"/>
    <hyperlink ref="J217" r:id="rId23" xr:uid="{0102BFC1-AA0D-47CA-9EDD-1DC5A1BD3049}"/>
    <hyperlink ref="K217" r:id="rId24" display="http://www.stillonemedia.com" xr:uid="{254E3114-07B8-4665-9FB7-8E8BD937D6F8}"/>
    <hyperlink ref="J23" r:id="rId25" xr:uid="{800FCAEE-0ED2-4148-8CCC-65DE858D4CA9}"/>
    <hyperlink ref="K23" r:id="rId26" xr:uid="{00459700-14C0-4E6E-B1AA-E39F4083C4FF}"/>
    <hyperlink ref="J88" r:id="rId27" xr:uid="{EDEFB82D-E2A8-443D-BFE0-73D4639B94ED}"/>
    <hyperlink ref="K88" r:id="rId28" xr:uid="{3575709D-EB2A-4BBA-A9E0-4DCA6CBAA0DC}"/>
    <hyperlink ref="K246" r:id="rId29" xr:uid="{14142EC3-0B21-49BA-8474-847B52CB261C}"/>
    <hyperlink ref="J260" r:id="rId30" xr:uid="{25432D0A-322D-4E07-B414-4B16A83BE2B5}"/>
    <hyperlink ref="K260" r:id="rId31" display="http://whydocumentaries.com.au" xr:uid="{4910A1CE-51BB-4118-B29A-8072D7CA0ACA}"/>
    <hyperlink ref="J152" r:id="rId32" xr:uid="{E85890B2-4882-4249-A48F-773A06A6F8B5}"/>
    <hyperlink ref="K152" r:id="rId33" display="http://www.laundrylane.com" xr:uid="{3F6B9AAE-B91C-48C9-BE90-CC68BE974898}"/>
    <hyperlink ref="J64" r:id="rId34" xr:uid="{08D6B561-7C95-457A-BA2D-C795D3FF391F}"/>
    <hyperlink ref="K64" r:id="rId35" display="http://www.cdi-design.com.au" xr:uid="{9ED6B88E-B3A7-4DD1-9D73-5214944031CB}"/>
    <hyperlink ref="K103" r:id="rId36" display="http://www.frescocreative.com.au" xr:uid="{2CC01601-F41D-4EB5-8BE6-A59CB6553191}"/>
    <hyperlink ref="J7" r:id="rId37" xr:uid="{70D5E1F8-F367-4330-8FF2-D0D42502C40F}"/>
    <hyperlink ref="K7" r:id="rId38" display="http://www.5ivesenses.com.au" xr:uid="{86BB4F0A-BF66-4EF7-A996-F48E7A8BED8F}"/>
    <hyperlink ref="J22" r:id="rId39" xr:uid="{026C7E8E-2DB0-445C-BE65-7F27E5DC89EC}"/>
    <hyperlink ref="K22" r:id="rId40" xr:uid="{A0954FF4-0740-4F15-9A71-BC10B0E98A30}"/>
    <hyperlink ref="J145" r:id="rId41" xr:uid="{51AE835C-933C-4C6F-B004-4AC19C3DB7FA}"/>
    <hyperlink ref="K145" r:id="rId42" display="http://www.kjassoc.com.au" xr:uid="{CD9CD060-092D-4A2F-AEEA-6E61AB7C7E17}"/>
    <hyperlink ref="J92" r:id="rId43" xr:uid="{317070BB-7A1C-4C42-93F1-8FEB7D659925}"/>
    <hyperlink ref="K92" r:id="rId44" xr:uid="{7F4E0126-F645-445F-A691-A81CD6D14552}"/>
    <hyperlink ref="J261" r:id="rId45" xr:uid="{B81C4266-3FD3-447A-9CB1-25C2D1996615}"/>
    <hyperlink ref="K261" r:id="rId46" xr:uid="{3E003F7B-A04C-44FF-AB47-8EB498A87A86}"/>
    <hyperlink ref="J86" r:id="rId47" xr:uid="{6B0D0A45-39F3-4246-AD09-7CF9FE7957A8}"/>
    <hyperlink ref="K86" r:id="rId48" display="http://www.energi.com.au" xr:uid="{A7F4ED33-E59B-4B0F-85A8-390B5D14522C}"/>
    <hyperlink ref="J61" r:id="rId49" xr:uid="{11CFC85E-A10A-437F-B7F4-022BCE4D2514}"/>
    <hyperlink ref="K61" r:id="rId50" display="http://www.contentark.com.au" xr:uid="{53E8AC0A-98D0-46E9-9D5D-784C61D6CD40}"/>
    <hyperlink ref="J26" r:id="rId51" xr:uid="{74262DEF-AB7F-4A4B-B23A-AA52C608654B}"/>
    <hyperlink ref="J194" r:id="rId52" xr:uid="{67989526-6C8C-4110-BA4E-D7F164F604E6}"/>
    <hyperlink ref="K194" r:id="rId53" xr:uid="{B67CD5B2-EA4C-40B9-B056-310158F932D0}"/>
    <hyperlink ref="J122" r:id="rId54" xr:uid="{4B33EE5B-A02C-45E7-8EAB-757D00CF3AE3}"/>
    <hyperlink ref="K122" r:id="rId55" display="http://houstongroup.com.au" xr:uid="{54274BC8-A452-4A2C-AD94-1EB4B452E0EF}"/>
    <hyperlink ref="J170" r:id="rId56" xr:uid="{2CCDBDCA-32E1-43C1-BF74-9C1E32A5F5AF}"/>
    <hyperlink ref="K170" r:id="rId57" display="http://www.mintfilms.com.au" xr:uid="{4A97237B-9575-4A29-A5B4-777307E0DE6C}"/>
    <hyperlink ref="J107" r:id="rId58" xr:uid="{1E4B3080-2E50-4E25-8E22-BF417D4893DB}"/>
    <hyperlink ref="K107" r:id="rId59" display="http://goodchat.tv" xr:uid="{65E5989B-247C-4766-A184-CD35B1E6F855}"/>
    <hyperlink ref="J27" r:id="rId60" xr:uid="{D7245907-49F0-4E34-B6BD-362FFC0983AD}"/>
    <hyperlink ref="K27" r:id="rId61" display="http://www.archibaldwilliams.com" xr:uid="{4705FCE5-3209-4624-97E8-2AFA22343C31}"/>
    <hyperlink ref="K57" r:id="rId62" xr:uid="{BF421F7E-3D03-49E6-A2D1-125F8EE43E8C}"/>
    <hyperlink ref="J57" r:id="rId63" xr:uid="{A05815CC-E8A6-4E35-9904-EAC89351626B}"/>
    <hyperlink ref="J203" r:id="rId64" xr:uid="{2AC5AC8F-EBD1-4CCD-87E1-59CBE2B094F9}"/>
    <hyperlink ref="K203" r:id="rId65" display="http://www.reddoorproduction.com.au" xr:uid="{1B2BFCC1-6FA3-4C49-8D90-2B1F5D9F98A3}"/>
    <hyperlink ref="J219" r:id="rId66" xr:uid="{8B50F8F3-C569-4809-A523-20CDC1ED181B}"/>
    <hyperlink ref="K219" r:id="rId67" xr:uid="{E704887C-7E8B-4C4C-84DE-93F18AFFBD62}"/>
    <hyperlink ref="J34" r:id="rId68" xr:uid="{553CABF0-F1D2-48B3-8760-76D821DCBABD}"/>
    <hyperlink ref="K34" r:id="rId69" xr:uid="{B78E69C5-BDEE-4D5F-A8C6-E89B37F3BEE1}"/>
    <hyperlink ref="J210" r:id="rId70" xr:uid="{B23EDF8B-999E-4A92-ACEC-BA2DCD54F85E}"/>
    <hyperlink ref="K210" r:id="rId71" display="http://sixblackpens.com/" xr:uid="{4047ECFD-2375-4988-9486-DD706B8B4B69}"/>
    <hyperlink ref="J89" r:id="rId72" xr:uid="{4D8D87A9-351E-46B5-BB3C-18587AB3703F}"/>
    <hyperlink ref="K89" r:id="rId73" display="http://www.enigma.net.au" xr:uid="{5FBB3CCD-D2AC-40E5-93C2-D867D089CCE2}"/>
    <hyperlink ref="J120" r:id="rId74" xr:uid="{778E71F4-DE09-4E8B-B4C5-7FD207DB8350}"/>
    <hyperlink ref="K120" r:id="rId75" display="http://www.hosthavas.com" xr:uid="{F62B8952-4616-471A-BD1F-A1A6461E8384}"/>
    <hyperlink ref="J51" r:id="rId76" xr:uid="{31DA21B9-9D2E-41C0-A611-C71F68A168C2}"/>
    <hyperlink ref="K51" r:id="rId77" xr:uid="{64C865EC-E901-49FC-A981-E1A08D123D39}"/>
    <hyperlink ref="K37" r:id="rId78" display="http://www.blkfsch.com" xr:uid="{DB8717A6-B8DA-4A9E-AA81-566D8F804906}"/>
    <hyperlink ref="J37" r:id="rId79" xr:uid="{706CD8FB-98B3-4BF7-BA71-63D3FD82EF69}"/>
    <hyperlink ref="J230" r:id="rId80" xr:uid="{210CB47A-51E0-4DFA-B928-A163976B7FDD}"/>
    <hyperlink ref="K230" r:id="rId81" display="http://www.informationaccessgroup.com/" xr:uid="{DE78EE66-DFE2-41D8-85FF-D888600B833B}"/>
    <hyperlink ref="J18" r:id="rId82" xr:uid="{BDE87332-739D-4765-A020-A604CF684688}"/>
    <hyperlink ref="K18" r:id="rId83" display="http://www.alphabetstudio.co" xr:uid="{EB4A3F05-D93E-4369-B266-75D328C5CC0C}"/>
    <hyperlink ref="J169" r:id="rId84" xr:uid="{87152FB9-E247-43C0-8397-033607511461}"/>
    <hyperlink ref="K169" r:id="rId85" xr:uid="{9CE11F73-BA1E-4EA0-A3FB-4E50E32ADA35}"/>
    <hyperlink ref="J143" r:id="rId86" xr:uid="{17894973-D515-4207-B781-3781D59EBCC5}"/>
    <hyperlink ref="K143" r:id="rId87" display="http://www.juntosmarketing.com.au" xr:uid="{0AF36C7C-204C-4271-A107-16ABB21A9916}"/>
    <hyperlink ref="J100" r:id="rId88" xr:uid="{5546CE5F-5B51-4A48-A43F-7702417D7A9C}"/>
    <hyperlink ref="K100" r:id="rId89" display="http://www.folk.com.au" xr:uid="{B08A9EAF-91DE-494D-8F92-7FF77C9754FB}"/>
    <hyperlink ref="J30" r:id="rId90" xr:uid="{202380F0-032B-47A1-9B9D-63B806DD7373}"/>
    <hyperlink ref="K30" r:id="rId91" xr:uid="{BCB1B31E-5EBA-4B2D-B0DC-DC973331FD7E}"/>
    <hyperlink ref="J189" r:id="rId92" xr:uid="{3050FC00-9959-4127-BB34-34C3DCD08933}"/>
    <hyperlink ref="K189" r:id="rId93" display="http://www.rpsgroup.com" xr:uid="{DE886F27-D275-4331-8884-7DAFE554B4A2}"/>
    <hyperlink ref="K11" r:id="rId94" display="http://www.acronymdesign.com.au" xr:uid="{831CB2C4-EB13-4578-986F-610FA0C8C1E2}"/>
    <hyperlink ref="J11" r:id="rId95" xr:uid="{770F6F2E-75C1-4080-89CF-1055873FBDBC}"/>
    <hyperlink ref="J17" r:id="rId96" xr:uid="{EEDE72DB-107A-45F0-B753-1AEA5C9447C9}"/>
    <hyperlink ref="K17" r:id="rId97" xr:uid="{EDF729D7-6B4E-4BAA-AF35-D3A66C3B6A98}"/>
    <hyperlink ref="J144" r:id="rId98" xr:uid="{41219141-EF20-409C-9029-FA3230F0395D}"/>
    <hyperlink ref="K144" r:id="rId99" xr:uid="{007BB921-7D53-41C8-81DE-C7790BDAA062}"/>
    <hyperlink ref="J72" r:id="rId100" xr:uid="{C6CD9E40-5BC8-4B89-81E1-7FFCDE0FDF64}"/>
    <hyperlink ref="K72" r:id="rId101" display="http://designdavey.com.au" xr:uid="{5806AEB1-7C32-4FE4-A8A4-802076F3F1DB}"/>
    <hyperlink ref="J185" r:id="rId102" xr:uid="{3DA05479-8085-4177-939F-F19357FB4E87}"/>
    <hyperlink ref="K185" r:id="rId103" display="http://papermoose.com" xr:uid="{F8D74AFE-608A-4728-9FC2-50458FFC3B02}"/>
    <hyperlink ref="J106" r:id="rId104" xr:uid="{BC15FAD0-91E3-4111-9718-8C08C9A14A7A}"/>
    <hyperlink ref="K106" r:id="rId105" display="http://goodsong.com.au" xr:uid="{5F574900-EF7B-4C89-A0C3-78ACF3750C52}"/>
    <hyperlink ref="J78" r:id="rId106" xr:uid="{16E0EBE0-0979-429F-AC1D-AABE1F51B73B}"/>
    <hyperlink ref="K78" r:id="rId107" display="http://edge.agency" xr:uid="{6D3098D6-0133-43B5-B370-22720ADCDE00}"/>
    <hyperlink ref="J233" r:id="rId108" xr:uid="{C28A31CF-505F-4E76-89F8-4D24CE0A4240}"/>
    <hyperlink ref="K233" r:id="rId109" xr:uid="{7C228C1D-3D21-401E-8759-3C4D4B1F74F9}"/>
    <hyperlink ref="J137" r:id="rId110" xr:uid="{18A3A618-4933-4DED-8A16-53B8E487FDB1}"/>
    <hyperlink ref="K137" r:id="rId111" display="http://www.invntgroup.com" xr:uid="{2D95CB16-0AAF-43A1-8CE5-B8D379C65BDF}"/>
    <hyperlink ref="J69" r:id="rId112" xr:uid="{D9C5EA91-DC42-4705-BE1A-C19E67BA9EE3}"/>
    <hyperlink ref="K69" r:id="rId113" display="http://www.ddb.com.au" xr:uid="{D37D589F-D252-4633-B053-96C12F4BF54C}"/>
    <hyperlink ref="J28" r:id="rId114" xr:uid="{EADFCF08-E227-4E38-BEC3-2A28821ED109}"/>
    <hyperlink ref="K28" r:id="rId115" display="http://artofmultimedia.com.au" xr:uid="{CDE28458-86E9-47CF-BF95-E51DE8426DE5}"/>
    <hyperlink ref="J180" r:id="rId116" xr:uid="{D7A04C00-22F2-4220-BC3F-94220FDD6460}"/>
    <hyperlink ref="K180" r:id="rId117" display="http://www.nowscreen.com" xr:uid="{D362B001-80E4-4D15-A9A1-4EA22D507F48}"/>
    <hyperlink ref="K245" r:id="rId118" xr:uid="{AE6E8872-65C8-4C36-8680-F185CB94C568}"/>
    <hyperlink ref="J245" r:id="rId119" xr:uid="{E35A9354-6610-4239-AF73-86B91E63EAB7}"/>
    <hyperlink ref="J205" r:id="rId120" xr:uid="{B9738121-CF5B-48A8-B8C2-495987EF7C79}"/>
    <hyperlink ref="K205" r:id="rId121" display="http://www.reelstory.co" xr:uid="{F2BB1DAB-3C9F-4B04-9DCF-CE7B85F716CE}"/>
    <hyperlink ref="J98" r:id="rId122" xr:uid="{BFD2E6FE-B1E7-4D71-B175-E405368F6692}"/>
    <hyperlink ref="K98" r:id="rId123" display="http://www.fluffycloudmedia.com.au" xr:uid="{4BCF359E-A95B-4F8E-91B8-EBB6CACA81F6}"/>
    <hyperlink ref="J36" r:id="rId124" xr:uid="{DD88C623-3A53-4E38-8DA4-5EB4426E978F}"/>
    <hyperlink ref="K36" r:id="rId125" display="http://www.bergefarrell.com" xr:uid="{256EBCFA-C5B1-4F37-914C-50D4314BB99C}"/>
    <hyperlink ref="J226" r:id="rId126" xr:uid="{E8FEF67E-1436-4547-AC71-017323566D64}"/>
    <hyperlink ref="K226" r:id="rId127" display="http://www.destinationagency.com.au" xr:uid="{CF67C979-C5C6-4FA7-8F1F-EDA5DC953599}"/>
    <hyperlink ref="K238" r:id="rId128" xr:uid="{A4DDB1FD-D96B-4B46-9540-2C95C5258298}"/>
    <hyperlink ref="J238" r:id="rId129" xr:uid="{8BFBB822-C28E-4483-A84A-AED3409F1166}"/>
    <hyperlink ref="J177" r:id="rId130" xr:uid="{2F0AF634-E6DD-4A26-9DFF-B065473DD9DF}"/>
    <hyperlink ref="K177" r:id="rId131" display="http://www.nightjar.co" xr:uid="{8D03B30F-FF04-4C79-B08A-716414CB353A}"/>
    <hyperlink ref="J184" r:id="rId132" xr:uid="{1CBAA060-AC61-423B-AC26-C353D4C2575E}"/>
    <hyperlink ref="K184" r:id="rId133" display="http://papermonkey.com.au" xr:uid="{9EFC3463-A6F5-42D6-89E0-5EB11EDC6159}"/>
    <hyperlink ref="J140" r:id="rId134" xr:uid="{DA02F7A2-F5EC-4BD0-9EE6-B0C1A66568DA}"/>
    <hyperlink ref="K140" r:id="rId135" display="http://jimjamideas.com" xr:uid="{38E1C86E-2B3B-4EA1-A290-38F691D80A98}"/>
    <hyperlink ref="J59" r:id="rId136" xr:uid="{73CBD835-9A36-420F-A545-AFF02F154857}"/>
    <hyperlink ref="K59" r:id="rId137" display="http://www.clockworkfilms.com.au" xr:uid="{EAE00770-E6D7-447A-AA61-994BA05561EE}"/>
    <hyperlink ref="J125" r:id="rId138" xr:uid="{8B07A242-8615-46F0-A11D-1E2052DAE46E}"/>
    <hyperlink ref="K125" r:id="rId139" xr:uid="{EA83EBAD-B7D0-4C0D-9DE8-3A1AD5EF46FC}"/>
    <hyperlink ref="J167" r:id="rId140" xr:uid="{3B4B341C-191B-4465-8C09-0ED0D854D95C}"/>
    <hyperlink ref="K167" r:id="rId141" display="http://messy.com.au" xr:uid="{DA17E67B-76E3-4CDE-B682-C38116F71A62}"/>
    <hyperlink ref="J187" r:id="rId142" xr:uid="{DEDAA04B-EC26-43F8-A826-DD231030C957}"/>
    <hyperlink ref="K187" r:id="rId143" display="http://www.pearshop.com.au" xr:uid="{7234455F-E311-4F04-83BC-9BA9456F2FEB}"/>
    <hyperlink ref="J132" r:id="rId144" xr:uid="{37FCD929-0F57-4C48-A19C-FD9CB1BC71F4}"/>
    <hyperlink ref="K132" r:id="rId145" display="http://impressdesign.com.au" xr:uid="{EC33CDFA-54FA-401F-8363-0B424B753F6E}"/>
    <hyperlink ref="J266" r:id="rId146" xr:uid="{4919A20C-F2C1-42D2-9DEB-F363C569F3DB}"/>
    <hyperlink ref="K266" r:id="rId147" display="http://yango.com.au" xr:uid="{20008FE9-088B-47A8-B048-C3152EB1342D}"/>
    <hyperlink ref="J259" r:id="rId148" xr:uid="{B4E944DB-EDF0-4730-BD9A-4191D0E8D170}"/>
    <hyperlink ref="K259" r:id="rId149" display="http://whmspa.com.au" xr:uid="{05D70155-5E59-4355-9F30-70B5C47FAE60}"/>
    <hyperlink ref="J207" r:id="rId150" xr:uid="{9EDEC2E8-4274-43D4-843D-268D099D35F9}"/>
    <hyperlink ref="K207" r:id="rId151" display="http://rocketagency.com.au" xr:uid="{19DFBB23-165D-44BD-A63C-9AD53A1AA84E}"/>
    <hyperlink ref="J214" r:id="rId152" xr:uid="{6FBEF186-28C1-4711-AB6D-88A796803191}"/>
    <hyperlink ref="K214" r:id="rId153" display="http://spatialmedia.com.au" xr:uid="{C5BD38AA-3088-428B-9A9A-854AFE645020}"/>
    <hyperlink ref="J20" r:id="rId154" xr:uid="{C23E0F56-9EA5-4AF3-8CAE-8EAC4EF536CB}"/>
    <hyperlink ref="K20" r:id="rId155" display="http://www.analogfolk.com" xr:uid="{64DC5941-B268-4D31-AEA2-81372A3E1983}"/>
    <hyperlink ref="J102" r:id="rId156" xr:uid="{CCB1599D-A679-49CC-903D-55EA37AEDA89}"/>
    <hyperlink ref="K102" r:id="rId157" display="http://www.foundatsea.co" xr:uid="{92A7554C-7167-4FDD-BA22-3BD9763D399E}"/>
    <hyperlink ref="J99" r:id="rId158" xr:uid="{6193FE73-E374-4B27-8614-CD62CADAB9C8}"/>
    <hyperlink ref="K99" r:id="rId159" display="http://www.focuscreative.com.au" xr:uid="{B5C29A6F-ECFD-4BB6-B974-2C9B5AAD17D0}"/>
    <hyperlink ref="J21" r:id="rId160" xr:uid="{318DF273-E0A4-4A7D-9313-325E679DA35E}"/>
    <hyperlink ref="K21" r:id="rId161" display="http://www.annazhu.com" xr:uid="{0C858454-D122-47D9-8EE0-4958F5A4922D}"/>
    <hyperlink ref="J155" r:id="rId162" xr:uid="{0C55144E-CFCA-4D30-B720-146707C2B5E0}"/>
    <hyperlink ref="K155" r:id="rId163" display="http://www.limelightcreativemedia.com.au" xr:uid="{148C2746-2F26-47B6-A786-D8FA0B2EE39F}"/>
    <hyperlink ref="J83" r:id="rId164" xr:uid="{5B975DB1-93A0-4B8A-9632-5F43282F82A5}"/>
    <hyperlink ref="K83" r:id="rId165" display="http://www.eltonward.com.au" xr:uid="{7D5CEF1B-AC95-4EE1-AEBD-AA3C4FE60E8D}"/>
    <hyperlink ref="J149" r:id="rId166" xr:uid="{768ECD6D-5E53-4F46-8581-4B5C1416D94D}"/>
    <hyperlink ref="K149" r:id="rId167" display="http://www.kingvideoproduction.com.au" xr:uid="{221394BE-BB8F-4243-A662-8ED8AB782608}"/>
    <hyperlink ref="K156" r:id="rId168" display="http://www.lionize.com.au/" xr:uid="{BC3816F9-0165-4E8A-A72D-3D2D82F9DC36}"/>
    <hyperlink ref="J156" r:id="rId169" xr:uid="{7AFF3D27-D242-48D1-A73D-26E4298B846B}"/>
    <hyperlink ref="J60" r:id="rId170" xr:uid="{756E7D85-93E8-42FB-8D35-627B4793EAB0}"/>
    <hyperlink ref="K60" r:id="rId171" display="http://commonv.com.au" xr:uid="{C54ECA91-14AB-4832-8AD4-C55E3F22D4FA}"/>
    <hyperlink ref="J254" r:id="rId172" xr:uid="{BE76BAB2-8B37-489F-B71E-62921F54C1B7}"/>
    <hyperlink ref="K254" r:id="rId173" xr:uid="{BA643E93-F21D-43EB-BFC6-57F96F87C481}"/>
    <hyperlink ref="J164" r:id="rId174" xr:uid="{C476FBE6-2E9D-4658-8211-74D042671E44}"/>
    <hyperlink ref="K164" r:id="rId175" display="http://www.mccann.com.au" xr:uid="{12BFD793-047E-4AB5-B7F3-CF6BD908E3CB}"/>
    <hyperlink ref="J188" r:id="rId176" xr:uid="{43E448C3-0B18-4086-BC7D-EB004C08DCA3}"/>
    <hyperlink ref="K188" r:id="rId177" xr:uid="{E55B9354-A17E-410C-B428-21031098E723}"/>
    <hyperlink ref="J265" r:id="rId178" xr:uid="{3E036867-0089-442B-BC09-4F92626CEDB6}"/>
    <hyperlink ref="K265" r:id="rId179" xr:uid="{9FCDF24F-60B3-4E66-93EE-78692A947EE4}"/>
    <hyperlink ref="J14" r:id="rId180" xr:uid="{8BF2C416-DC90-4DD2-949A-492DFFECF6D0}"/>
    <hyperlink ref="J162" r:id="rId181" xr:uid="{CE7F5680-FEF9-435B-ADF2-715E9F2C1EDB}"/>
    <hyperlink ref="K162" r:id="rId182" display="http://maverick.com.au" xr:uid="{CFEED986-106C-4CE0-8603-88A69A5D83FC}"/>
    <hyperlink ref="J154" r:id="rId183" xr:uid="{3F81C1F7-A212-414A-BBD0-A42A3EAF4DCB}"/>
    <hyperlink ref="K154" r:id="rId184" xr:uid="{D1F8C4F4-E292-41BA-9A5A-C703466A7B7E}"/>
    <hyperlink ref="J236" r:id="rId185" xr:uid="{56C20E7B-E5EC-4F8B-AFCA-F628E2908202}"/>
    <hyperlink ref="K236" r:id="rId186" display="http://www.thinksmartmarketing.com.au" xr:uid="{16B8E571-F4A6-4BFB-8DF4-D9DDAA04C64B}"/>
    <hyperlink ref="J91" r:id="rId187" xr:uid="{B3551071-44D5-4499-A49F-DFED74157298}"/>
    <hyperlink ref="K91" r:id="rId188" xr:uid="{398A9CC2-A60F-4761-B733-4E0C7F015969}"/>
    <hyperlink ref="J65" r:id="rId189" xr:uid="{4B060474-1E0B-42D0-B989-CE85C5FEB336}"/>
    <hyperlink ref="K65" r:id="rId190" display="http://www.culper.com.au" xr:uid="{AEEA37A5-4DEB-413C-A972-A3A716D00D16}"/>
    <hyperlink ref="J128" r:id="rId191" xr:uid="{62C6641D-42EB-4722-A193-C6C3F087B43F}"/>
    <hyperlink ref="K128" r:id="rId192" display="http://bruce@illidgecreative.com.au" xr:uid="{5EA249AB-EFEA-4071-AF87-45ADD2E6E356}"/>
    <hyperlink ref="J263" r:id="rId193" xr:uid="{53A6B07C-42FC-44C2-B214-B09EB256241D}"/>
    <hyperlink ref="K263" r:id="rId194" display="http://www.wewonder.com.au" xr:uid="{0704E285-D2E7-41D2-9604-F19C13E7AADD}"/>
    <hyperlink ref="J136" r:id="rId195" xr:uid="{CDAF606A-FDAB-403A-9D62-F1DF42F61221}"/>
    <hyperlink ref="K136" r:id="rId196" display="http://www.integraldesign.com.au" xr:uid="{9950AEE2-79EE-4EB0-BF7F-3307D26DA38D}"/>
    <hyperlink ref="J54" r:id="rId197" xr:uid="{8D8DC3B7-7FD2-4F6F-B01E-7E0BAEE02756}"/>
    <hyperlink ref="K54" r:id="rId198" display="http://www.chello.com.au" xr:uid="{B41909E0-D070-421E-B3E3-A212EA1FB779}"/>
    <hyperlink ref="J85" r:id="rId199" xr:uid="{E4C2730A-C91A-4300-AAEC-7EDD826F97EA}"/>
    <hyperlink ref="K85" r:id="rId200" display="http://www.emotive.com.au" xr:uid="{45285263-0F12-4B54-A964-351350B7DAE0}"/>
    <hyperlink ref="J101" r:id="rId201" xr:uid="{769274AF-6C53-41F6-956A-32A49828FD00}"/>
    <hyperlink ref="J186" r:id="rId202" xr:uid="{83E18319-2293-414F-A2EE-AFD26E603E13}"/>
    <hyperlink ref="K186" r:id="rId203" display="http://www.passionberrymarketing.com" xr:uid="{26E5388D-CE2C-4DBE-9033-FC69E424ECE0}"/>
    <hyperlink ref="J248" r:id="rId204" xr:uid="{B3C86360-2408-40BA-9DDD-AD08C9F996CC}"/>
    <hyperlink ref="K248" r:id="rId205" display="http://www.vmlyr.com" xr:uid="{B8E5F03C-2A76-4BDF-9A74-B6CD58451739}"/>
    <hyperlink ref="J121" r:id="rId206" xr:uid="{39E66D10-0ABE-435F-8A91-CEBC712CAFC1}"/>
    <hyperlink ref="K121" r:id="rId207" display="http://www.houseofkitch.com.au" xr:uid="{C5EEC0A3-D8BD-4FFF-BFBA-9A028689C7C5}"/>
    <hyperlink ref="J43" r:id="rId208" xr:uid="{BB54CC75-002A-4C9F-A766-8144ED22571F}"/>
    <hyperlink ref="K43" r:id="rId209" display="http://www.brandmatters.com.au" xr:uid="{804E06EC-4F12-4C6F-8A23-4313330316AD}"/>
    <hyperlink ref="J126" r:id="rId210" xr:uid="{0EE60DC3-40F3-47BD-BCAF-18B5AB8BBC9D}"/>
    <hyperlink ref="K126" r:id="rId211" display="http://www.ideaseed.com.au" xr:uid="{3EB66866-FC7C-49FB-B6CF-931DCDD8DC0D}"/>
    <hyperlink ref="J112" r:id="rId212" xr:uid="{2CDE9C39-C526-4D90-B427-A81CD782EE7F}"/>
    <hyperlink ref="K112" r:id="rId213" xr:uid="{41086B65-B210-4C7E-B707-0945DCE70E1A}"/>
    <hyperlink ref="J81" r:id="rId214" xr:uid="{53B3C7C5-6D92-48E5-B0D8-72DC0A422FC5}"/>
    <hyperlink ref="K81" r:id="rId215" display="http://www.ellisjones.com.au" xr:uid="{7DF7B2A6-5B0F-4253-B50C-FAAD93F954AA}"/>
    <hyperlink ref="J192" r:id="rId216" xr:uid="{D89DD9C2-AAB6-412E-B544-E5EDDC345AB5}"/>
    <hyperlink ref="K192" r:id="rId217" display="http://www.porternovelli.com.au" xr:uid="{7DE66AA3-4233-41BD-997F-D346F11E3747}"/>
    <hyperlink ref="J13" r:id="rId218" xr:uid="{BFF1E77F-E777-477F-918B-1708DAF706F7}"/>
    <hyperlink ref="K13" r:id="rId219" display="http://www.addiestudio.com" xr:uid="{403000B2-B247-4838-B6A4-BCB5146828B7}"/>
    <hyperlink ref="J146" r:id="rId220" xr:uid="{6C4D8275-FB38-4696-B7B9-C4FB087C56FE}"/>
    <hyperlink ref="K146" r:id="rId221" display="http://www.kazbarcreative.com.au" xr:uid="{AD9BDA4F-A2AC-47A1-AEEE-359FD18D6393}"/>
    <hyperlink ref="K47" r:id="rId222" display="http://www.canvasgroup.com.au" xr:uid="{2C146765-E96A-4D8F-ACE0-366D66F62DE5}"/>
    <hyperlink ref="J47" r:id="rId223" xr:uid="{E3E1F546-91A6-4FA8-BD7A-3B9794311E99}"/>
    <hyperlink ref="J117" r:id="rId224" xr:uid="{0DAD3C5E-B7B9-4865-A666-1838DBEC112C}"/>
    <hyperlink ref="K117" r:id="rId225" display="http://hixonfilms.com" xr:uid="{3415BD8D-1EB8-4284-A8C4-E23B704561D8}"/>
    <hyperlink ref="J39" r:id="rId226" xr:uid="{928AA089-5F19-408F-899A-B1736567823D}"/>
    <hyperlink ref="K39" r:id="rId227" display="http://www.bmf.com.au" xr:uid="{ED75D130-8565-425A-A0BB-6613619F361F}"/>
    <hyperlink ref="K104" r:id="rId228" display="http://www.ghosydney.com" xr:uid="{4D53921A-7FB5-4BA7-97E5-5415782A7DBA}"/>
    <hyperlink ref="J104" r:id="rId229" xr:uid="{9704D95F-372D-4934-BF47-DCBB9D27ADAC}"/>
    <hyperlink ref="J84" r:id="rId230" xr:uid="{46FBAFAB-3D46-469A-A10D-9ABF44332AEB}"/>
    <hyperlink ref="K84" r:id="rId231" display="http://www.embracesociety.com.au" xr:uid="{D056B821-0525-4D7E-9141-38BC65E6901A}"/>
    <hyperlink ref="J123" r:id="rId232" xr:uid="{2EB02EAB-3FB4-462B-8BF7-7D98FA178897}"/>
    <hyperlink ref="K123" r:id="rId233" display="http://www.hoyne.com.au/" xr:uid="{26D36212-4F09-4D4B-AB97-402ED2510244}"/>
    <hyperlink ref="J25" r:id="rId234" xr:uid="{47F4D5FB-C84E-4E2D-92EF-2E26A61DFD39}"/>
    <hyperlink ref="K25" r:id="rId235" display="http://www.apparent.com.au" xr:uid="{A080A9BA-5863-47B9-9A5D-7CD206412B2C}"/>
    <hyperlink ref="J116" r:id="rId236" xr:uid="{3AEB496D-9961-45C0-9CC2-55CAF815A898}"/>
    <hyperlink ref="K116" r:id="rId237" display="http://hinterlands.com.au" xr:uid="{2E7AC9D6-6473-4720-941A-AEEACEA6738C}"/>
    <hyperlink ref="J16" r:id="rId238" xr:uid="{BC01FA5F-61AC-45C4-B3CE-4EE9F8C80B46}"/>
    <hyperlink ref="K16" r:id="rId239" xr:uid="{39767B7D-72D1-4516-BA5B-AB46F26B1833}"/>
    <hyperlink ref="J179" r:id="rId240" xr:uid="{BEAAEDEE-F882-4DE0-AB5B-1B702FB57436}"/>
    <hyperlink ref="K179" r:id="rId241" display="http://www.noblebrandsworldwide.com" xr:uid="{DC711BD2-1D66-404A-BB43-5EDB0E485C96}"/>
    <hyperlink ref="J62" r:id="rId242" xr:uid="{3A45DBD1-7B47-457A-82A4-128B9983FEE6}"/>
    <hyperlink ref="K62" r:id="rId243" display="http://www.cooperfilms.net" xr:uid="{543D7AC2-42E2-4EF5-99D8-3C862A86185E}"/>
    <hyperlink ref="J157" r:id="rId244" xr:uid="{83AC495F-8A97-4C12-8451-6AB7BD9D99DF}"/>
    <hyperlink ref="K157" r:id="rId245" xr:uid="{4E1795F1-F1A2-4F9D-BDBB-C6F64662E936}"/>
    <hyperlink ref="J141" r:id="rId246" xr:uid="{35FC1AF8-14EB-435F-9B6D-615060D70E6C}"/>
    <hyperlink ref="K141" r:id="rId247" display="http://www.jmr.com.au" xr:uid="{A14DFED3-9013-4AF5-9AD6-27DCEB51C429}"/>
    <hyperlink ref="J241" r:id="rId248" xr:uid="{D7B2787F-27C9-4E96-B4DE-C468A94B0CF9}"/>
    <hyperlink ref="K241" r:id="rId249" display="http://www.twostory.com.au" xr:uid="{F8FCFBB7-D0C1-4742-8ADE-5D4923D1505F}"/>
    <hyperlink ref="J171" r:id="rId250" xr:uid="{3C7D48E1-7406-463E-A1B3-B7D9F305F87C}"/>
    <hyperlink ref="K171" r:id="rId251" display="http://www.momentum2.com.au" xr:uid="{05998913-A816-4E45-BFE5-5A2A1640ACBD}"/>
    <hyperlink ref="J67" r:id="rId252" xr:uid="{61A2E768-C0F3-4396-A3C4-719216CD9342}"/>
    <hyperlink ref="K67" r:id="rId253" xr:uid="{F2A0C338-C7CD-4076-A25C-AA1B1CBBCA14}"/>
    <hyperlink ref="J221" r:id="rId254" xr:uid="{F3AF86A5-2C63-4EDA-A807-84DFC57E656C}"/>
    <hyperlink ref="K221" r:id="rId255" display="http://sweetmanand.co" xr:uid="{68C3A3E3-CF38-4B8A-9FA1-18B9FF92F0B8}"/>
    <hyperlink ref="J264" r:id="rId256" xr:uid="{F99CC361-F804-4E89-9387-CEDFBEFAD27D}"/>
    <hyperlink ref="K264" r:id="rId257" xr:uid="{89500A86-4D0D-4289-87FF-7C0E2206BA44}"/>
    <hyperlink ref="J200" r:id="rId258" xr:uid="{474192DF-7236-44C9-89AD-056144110E73}"/>
    <hyperlink ref="K200" r:id="rId259" display="http://www.radicalorange.tv" xr:uid="{F8C29261-2267-4353-982A-5FA134A9BF4B}"/>
    <hyperlink ref="J79" r:id="rId260" xr:uid="{83946FD7-8C15-4030-A7EB-F2B3D7A4146C}"/>
    <hyperlink ref="K79" r:id="rId261" display="http://www.editorgroup.com" xr:uid="{6B9B2C22-B638-45C7-98DF-ED1193B7EB58}"/>
    <hyperlink ref="J96" r:id="rId262" xr:uid="{E47BA132-87D8-4753-85F4-84F67EB2C357}"/>
    <hyperlink ref="K96" r:id="rId263" display="http://www.filmconstruction.com" xr:uid="{10F6B121-978C-459B-89FD-81DDB1E5DC54}"/>
    <hyperlink ref="K227" r:id="rId264" display="http://www.thedubs.com" xr:uid="{4BED3ED7-1E77-4039-95C2-7949F24EE635}"/>
    <hyperlink ref="J227" r:id="rId265" xr:uid="{A6FA29D8-61D8-4A33-8EFF-9740DC92ADB1}"/>
    <hyperlink ref="J267" r:id="rId266" xr:uid="{6E612BB1-128B-4EF3-A4AF-B2EB6FC5AA01}"/>
    <hyperlink ref="K267" r:id="rId267" display="http://www.zspace.com.au" xr:uid="{B1665ABE-28F5-4B8D-968D-DF39CD037DFE}"/>
    <hyperlink ref="J147" r:id="rId268" xr:uid="{90390783-BF6F-463F-8DCD-9A119787323A}"/>
    <hyperlink ref="K147" r:id="rId269" display="http://www.keyyproductions.com.au" xr:uid="{1700DBA2-D761-4D36-96E5-2D9FAB9D4A76}"/>
    <hyperlink ref="J222" r:id="rId270" xr:uid="{7D2C4992-8813-4408-9010-5A737D2494B7}"/>
    <hyperlink ref="K222" r:id="rId271" display="http://www.swingtime.com.au" xr:uid="{54353C9D-0623-4B28-9E78-523365EFBD2F}"/>
    <hyperlink ref="K76" r:id="rId272" display="http://hellootto.com.au/" xr:uid="{E602AB50-9054-4B23-BD84-F1845BC29FA8}"/>
    <hyperlink ref="J76" r:id="rId273" xr:uid="{95D08AF4-4314-49B3-8E7F-DD614C55280B}"/>
    <hyperlink ref="J242" r:id="rId274" xr:uid="{3C4F2DEF-7EBC-43F1-A564-5869B2D6BC47}"/>
    <hyperlink ref="K242" r:id="rId275" display="http://www.uncappedcreative.com.au" xr:uid="{311C159D-5094-49AF-84BB-349E476FCCB2}"/>
    <hyperlink ref="J173" r:id="rId276" xr:uid="{0CB266B7-4062-49AB-8591-975169849918}"/>
    <hyperlink ref="K173" r:id="rId277" display="http://www.multiculture.com.au" xr:uid="{D8E7C675-74BD-4357-97B5-03124A764767}"/>
    <hyperlink ref="J80" r:id="rId278" xr:uid="{47C5E6FD-3FC9-4118-8173-9BE6B8CCBAA1}"/>
    <hyperlink ref="K80" r:id="rId279" xr:uid="{3FA23EAD-62EE-4E2B-9112-FB2701EF55FE}"/>
    <hyperlink ref="J74" r:id="rId280" xr:uid="{A29FD81D-EEA9-429D-A53A-2B192BDC03AB}"/>
    <hyperlink ref="K74" r:id="rId281" xr:uid="{D42EF38E-9242-470E-817E-003557558AEE}"/>
    <hyperlink ref="J58" r:id="rId282" xr:uid="{52787E6B-9C77-4FCB-894A-C84D4FFE0297}"/>
    <hyperlink ref="K58" r:id="rId283" display="http://clemengerbbdo.com.au/en" xr:uid="{14028C4A-9421-4D1B-966F-6502B11F0D28}"/>
    <hyperlink ref="J198" r:id="rId284" xr:uid="{BF9939ED-3C30-4988-9AEB-53D5294126E9}"/>
    <hyperlink ref="K198" r:id="rId285" display="http://www.punchydigitalmedia.com.au" xr:uid="{CE59075A-DE76-476A-B6F8-E4DAD5B22082}"/>
    <hyperlink ref="J255" r:id="rId286" xr:uid="{040952C4-F8F3-4FFE-AB5D-2A720747778E}"/>
    <hyperlink ref="K255" r:id="rId287" xr:uid="{87C11157-698F-4993-B1D9-00CB56A13B39}"/>
    <hyperlink ref="J228" r:id="rId288" xr:uid="{988CB271-8EF3-47D1-B436-76CE3BD8BBE7}"/>
    <hyperlink ref="K228" r:id="rId289" xr:uid="{30F55FC6-0631-4E97-902D-51CC140BAFFA}"/>
    <hyperlink ref="J41" r:id="rId290" xr:uid="{53EA0EEF-C2DF-4D12-A4D3-256C540FA812}"/>
    <hyperlink ref="K41" r:id="rId291" display="http://www.brandexpression.com.au" xr:uid="{2BD59179-C6B6-4DDE-8F82-7A5542102DFD}"/>
    <hyperlink ref="K223" r:id="rId292" xr:uid="{A85DCF1E-C29D-4EE6-8C7D-91B66DCF0D89}"/>
    <hyperlink ref="J223" r:id="rId293" xr:uid="{567CABFA-C7C6-41C5-897F-2C3EAC220B85}"/>
    <hyperlink ref="K14" r:id="rId294" display="http://www.adrenalinmedia.com.au" xr:uid="{E33BA537-3556-416F-983C-E6AB03C2D819}"/>
    <hyperlink ref="K26" r:id="rId295" display="http://www.april5.com.au" xr:uid="{89E35982-B8F4-4C32-9B22-6AC2C4BE3552}"/>
    <hyperlink ref="J257" r:id="rId296" xr:uid="{6C7AF34E-D7BA-4F65-BDFF-D6F65A8BB82F}"/>
    <hyperlink ref="J118" r:id="rId297" xr:uid="{F38EEFEE-4736-4C58-9504-35B87F53F2C2}"/>
    <hyperlink ref="K118" r:id="rId298" xr:uid="{D52C67AE-F9C1-4CF3-812F-2BBEA4251619}"/>
    <hyperlink ref="J225" r:id="rId299" xr:uid="{E25C3EAB-ABCA-44F9-AC6E-46D4CDC9E79C}"/>
    <hyperlink ref="K225" r:id="rId300" xr:uid="{0955D154-4445-4898-8DCD-085F5EC050AC}"/>
    <hyperlink ref="J55" r:id="rId301" xr:uid="{DAF38059-5505-42AB-AB70-D19A13C5C363}"/>
    <hyperlink ref="K55" r:id="rId302" xr:uid="{C6A2D72B-9864-43E7-A9AF-A9FCF09D87A0}"/>
    <hyperlink ref="J182" r:id="rId303" xr:uid="{E984EE2C-7A18-4BCE-97A6-02199E20FA54}"/>
    <hyperlink ref="K182" r:id="rId304" xr:uid="{553D4A3F-4C2F-4932-8AA4-AE7F6D15F570}"/>
    <hyperlink ref="J68" r:id="rId305" xr:uid="{CA3582F9-7BE3-4495-AF2E-812091C058C1}"/>
    <hyperlink ref="K68" r:id="rId306" xr:uid="{3DDFF980-1377-4A41-BA16-34BB5979AAA3}"/>
    <hyperlink ref="J73" r:id="rId307" xr:uid="{323FABE6-CAA9-423E-BD8A-4236210B2C39}"/>
    <hyperlink ref="K73" r:id="rId308" xr:uid="{87051259-3BE5-48AA-8F95-7BE29D89D2DF}"/>
    <hyperlink ref="J87" r:id="rId309" xr:uid="{546BCFA4-DB21-46BA-9A84-680373E73B27}"/>
    <hyperlink ref="K87" r:id="rId310" xr:uid="{C71DEA30-B836-4EE8-BFA3-752E139AF2C4}"/>
    <hyperlink ref="J159" r:id="rId311" xr:uid="{CE68CB73-535F-4642-8043-AA699B0F8FC9}"/>
    <hyperlink ref="J10" r:id="rId312" xr:uid="{230F33DB-5118-480F-99B8-641C6CAA2F0B}"/>
    <hyperlink ref="J75" r:id="rId313" xr:uid="{F9A34186-BD7F-460A-875F-1040DB316000}"/>
    <hyperlink ref="J12" r:id="rId314" xr:uid="{4F36E116-7D4A-4EE5-B18E-B76D5B528687}"/>
    <hyperlink ref="K12" r:id="rId315" xr:uid="{FDB44DD7-98D5-4612-B55A-972D8C841B0A}"/>
    <hyperlink ref="J110" r:id="rId316" xr:uid="{4877EF67-85B4-4BC0-9DF4-E77CC55609F8}"/>
    <hyperlink ref="K110" r:id="rId317" xr:uid="{0CFDA6A8-AEAE-4F3B-BC35-102200CDDF65}"/>
    <hyperlink ref="J202" r:id="rId318" xr:uid="{F872C34D-9E08-4250-8AF6-4FE83F0CC661}"/>
    <hyperlink ref="K202" r:id="rId319" xr:uid="{72C415FA-F75C-4ADC-A40A-E3B2975BAF02}"/>
    <hyperlink ref="J94" r:id="rId320" xr:uid="{F66304D0-051E-497E-B3CE-4125A509FE78}"/>
    <hyperlink ref="K94" r:id="rId321" xr:uid="{FAA9F44A-0AA4-49F9-8219-10E705EB4E6B}"/>
    <hyperlink ref="J29" r:id="rId322" xr:uid="{F296C60C-CF13-4A07-A7C7-26B9738E4051}"/>
    <hyperlink ref="K29" r:id="rId323" xr:uid="{184F0BAD-8F21-4F63-AF08-B42AD80FB187}"/>
    <hyperlink ref="J133" r:id="rId324" xr:uid="{E4FC1A68-6B8D-466D-8D2E-0F5927BECCC7}"/>
    <hyperlink ref="K133" r:id="rId325" xr:uid="{76F757B1-FE88-4149-B072-BA664E90947D}"/>
    <hyperlink ref="J44" r:id="rId326" xr:uid="{AAD4103A-B91F-4ADB-998F-8972EFC7E0DB}"/>
    <hyperlink ref="K44" r:id="rId327" xr:uid="{0CC259EC-EF10-4891-B998-9D5AF27E3A8B}"/>
    <hyperlink ref="J178" r:id="rId328" xr:uid="{906D34ED-AEF8-48DB-AF30-6F7C1412D6EF}"/>
    <hyperlink ref="K178" r:id="rId329" xr:uid="{72811EC2-BCC8-42C3-B69F-E654760811C6}"/>
    <hyperlink ref="K50" r:id="rId330" xr:uid="{63EB2A26-76F0-4DE8-8C80-42DA8DE272FF}"/>
    <hyperlink ref="J175" r:id="rId331" xr:uid="{481EABA9-1877-4B9E-88E8-E367F86A4B45}"/>
    <hyperlink ref="K175" r:id="rId332" xr:uid="{CF71DE81-BC5C-47E6-821F-CDE27433DC2D}"/>
    <hyperlink ref="J31" r:id="rId333" xr:uid="{BC05298C-5B9A-4388-A4F0-71EC3BAFFEA4}"/>
    <hyperlink ref="K111" r:id="rId334" xr:uid="{9238B1D1-0ED8-40FF-8058-7317391E26F2}"/>
    <hyperlink ref="J32" r:id="rId335" xr:uid="{F904EA09-8BCD-4FDB-8D72-946C4507DF0C}"/>
    <hyperlink ref="K32" r:id="rId336" xr:uid="{CCC4B9C6-DD0E-4AB3-941A-947FF6C3CAF9}"/>
    <hyperlink ref="J199" r:id="rId337" xr:uid="{A2E09F6D-737E-446C-90DD-FBD847B20ADB}"/>
    <hyperlink ref="K199" r:id="rId338" xr:uid="{30BF9C41-B768-4CDC-AAEB-D5EBEB8643E8}"/>
    <hyperlink ref="J235" r:id="rId339" xr:uid="{6C91861E-9050-4C74-A867-44E78B72A56B}"/>
    <hyperlink ref="J234" r:id="rId340" xr:uid="{B88BC7D9-9DDF-4D79-974D-C72C565A9AD8}"/>
    <hyperlink ref="K234" r:id="rId341" xr:uid="{77FF99F0-FB1C-49FF-90AF-6EB697D13B97}"/>
    <hyperlink ref="J151" r:id="rId342" xr:uid="{8D369C7E-5B69-4E5D-87CF-40035325BAD7}"/>
    <hyperlink ref="K151" r:id="rId343" xr:uid="{3623A47E-BF5C-4EFB-B2B5-25C412320B25}"/>
    <hyperlink ref="J130" r:id="rId344" xr:uid="{D6305B99-4B9C-4DDF-A07E-1E93D1B3BE4D}"/>
    <hyperlink ref="K130" r:id="rId345" xr:uid="{6DE3CBE1-4D17-4A42-9248-B67F8E327507}"/>
    <hyperlink ref="K108" r:id="rId346" xr:uid="{09C98FCF-EC98-4637-9F51-D33A4136EF56}"/>
    <hyperlink ref="J46" r:id="rId347" xr:uid="{4850ED3E-F330-43A8-AE8C-DC78BC7E24A4}"/>
    <hyperlink ref="J24" r:id="rId348" xr:uid="{4D7DC1B8-5A3F-4BB1-821D-5E257444E522}"/>
    <hyperlink ref="K24" r:id="rId349" xr:uid="{4C80613D-B9B7-4E16-BDFB-B9C484171777}"/>
    <hyperlink ref="J251" r:id="rId350" xr:uid="{BD112233-76C0-44FA-BDE1-9D0D52F6370B}"/>
    <hyperlink ref="K251" r:id="rId351" xr:uid="{6211B91C-B667-4068-965C-2EC7C937F7F0}"/>
    <hyperlink ref="K48" r:id="rId352" xr:uid="{E8D908CC-9F68-4FB8-AC9D-91814E201C6A}"/>
    <hyperlink ref="J48" r:id="rId353" xr:uid="{56185941-FCA8-4D6A-8594-7CBE69531959}"/>
    <hyperlink ref="K232" r:id="rId354" xr:uid="{6C693F31-4291-46CB-9924-06D21683DDE5}"/>
    <hyperlink ref="J138" r:id="rId355" xr:uid="{3A0FD03D-25CE-41E1-883D-EFFB574A2B83}"/>
    <hyperlink ref="K82" r:id="rId356" xr:uid="{FF422FB1-854D-415C-8793-0BBCF0E3641D}"/>
    <hyperlink ref="J134" r:id="rId357" xr:uid="{0F424FF4-8D6D-4073-8FE5-8A7BFC9A4B10}"/>
    <hyperlink ref="K134" r:id="rId358" xr:uid="{3DBF3E0A-B240-43E4-A588-3B2CB2D1B3E4}"/>
    <hyperlink ref="K166" r:id="rId359" xr:uid="{C9B8A925-6D78-44DA-9CBE-6DD44C9A4E4D}"/>
    <hyperlink ref="J158" r:id="rId360" xr:uid="{D88E074C-8D63-4AA7-BAF3-8C9B8229899D}"/>
    <hyperlink ref="J218" r:id="rId361" xr:uid="{4496ECF0-1942-4E13-9354-DEC27B704885}"/>
    <hyperlink ref="J166" r:id="rId362" xr:uid="{B0F6E92A-50DE-4D6F-ADCB-FDB8C648151A}"/>
    <hyperlink ref="K158" r:id="rId363" xr:uid="{28C1550B-0793-472D-82C6-A285775DBA9B}"/>
    <hyperlink ref="K218" r:id="rId364" xr:uid="{8D973D3C-D241-4BCB-A826-853C213F2D0C}"/>
    <hyperlink ref="J56" r:id="rId365" xr:uid="{4FBC536D-E921-407C-8289-18ED41CD8230}"/>
    <hyperlink ref="K56" r:id="rId366" xr:uid="{4571525C-CF49-4358-92FC-6D3C57F6110D}"/>
    <hyperlink ref="J208" r:id="rId367" xr:uid="{A7570C7E-C8BA-49D9-86C1-1D379DF04B91}"/>
    <hyperlink ref="K208" r:id="rId368" xr:uid="{3DE5D925-DEF7-45D2-AD41-F76EAA9F8BA2}"/>
    <hyperlink ref="J6" r:id="rId369" xr:uid="{E15A12FB-9C66-4233-B51B-E8B976A62715}"/>
    <hyperlink ref="K6" r:id="rId370" xr:uid="{59F74105-3C9D-4B62-B11C-A1927C37E23F}"/>
    <hyperlink ref="J220" r:id="rId371" xr:uid="{72352526-7660-45B0-AA5D-98EDFA8CDD65}"/>
    <hyperlink ref="K220" r:id="rId372" xr:uid="{4C7349BC-ADD4-428D-AE92-B78CE5B101E1}"/>
    <hyperlink ref="J253" r:id="rId373" xr:uid="{6562CF24-40E3-46FB-9808-D5B5889B610F}"/>
    <hyperlink ref="K253" r:id="rId374" xr:uid="{FDAD4051-3B88-4E59-9EF3-C6834DEF04DC}"/>
    <hyperlink ref="J124" r:id="rId375" xr:uid="{A1232F16-D443-4088-B973-1309A3E5BE9D}"/>
    <hyperlink ref="K124" r:id="rId376" xr:uid="{02B15D7F-A1CD-41E4-9175-7E12ED0315DB}"/>
    <hyperlink ref="J45" r:id="rId377" xr:uid="{69FE0270-C25F-46CE-9524-2AEAA88F2C91}"/>
    <hyperlink ref="K45" r:id="rId378" xr:uid="{834B8555-7D4F-41F5-B2CA-0C44E1AB5D49}"/>
    <hyperlink ref="K161" r:id="rId379" xr:uid="{783F5F6D-385A-4D37-9F6B-6BA855F1CEF3}"/>
    <hyperlink ref="J70" r:id="rId380" xr:uid="{F1361D1F-4C87-49F6-A357-A9077390C7BD}"/>
    <hyperlink ref="K70" r:id="rId381" xr:uid="{FE293300-0964-42D2-B545-018C898ABE68}"/>
    <hyperlink ref="K190" r:id="rId382" xr:uid="{C6FE8407-8856-4FD1-BEA8-A5A2C8485958}"/>
    <hyperlink ref="J204" r:id="rId383" xr:uid="{0A4304E2-B355-4ABA-A6D6-296CC6B5F91E}"/>
    <hyperlink ref="J115" r:id="rId384" xr:uid="{6CCF71B7-0858-46EE-8BDB-33079D3466A1}"/>
    <hyperlink ref="K181" r:id="rId385" xr:uid="{E8CDAF4A-FA1D-4542-8A12-1313D46080BA}"/>
    <hyperlink ref="J239" r:id="rId386" xr:uid="{961FF11E-7B36-41A3-AD28-82CDDC565820}"/>
    <hyperlink ref="J163" r:id="rId387" xr:uid="{A9C578D8-CFD9-4468-8B17-093B7894EDA4}"/>
    <hyperlink ref="J172" r:id="rId388" xr:uid="{F331E83A-0C5B-4134-8D49-F8538075DE4F}"/>
    <hyperlink ref="K243" r:id="rId389" xr:uid="{8E8351B1-2D6E-40B2-909D-045054645B1B}"/>
    <hyperlink ref="J243" r:id="rId390" xr:uid="{AE8B6C7D-0394-4A77-BF79-7C04E17E9ED2}"/>
    <hyperlink ref="J77" r:id="rId391" xr:uid="{1BF7DA83-0EEB-4991-9A15-636655DC78BA}"/>
    <hyperlink ref="J71" r:id="rId392" xr:uid="{3FD5AD83-B8F0-4842-A08A-1E2C73339AA9}"/>
    <hyperlink ref="J212" r:id="rId393" xr:uid="{F01F0082-AC3C-4105-895B-DA6BC2889226}"/>
    <hyperlink ref="K33" r:id="rId394" xr:uid="{88B0E81D-9280-49F9-902F-EB3D92E03807}"/>
    <hyperlink ref="K209" r:id="rId395" xr:uid="{55E83820-278E-4246-89BE-3B616889D0E9}"/>
    <hyperlink ref="J209" r:id="rId396" xr:uid="{A008B016-566D-4C45-871E-24D228E06A9D}"/>
    <hyperlink ref="J153" r:id="rId397" xr:uid="{85E2431C-533F-4CD8-BCF7-293D37D10C1C}"/>
    <hyperlink ref="K153" r:id="rId398" xr:uid="{6E7FE0BA-2B32-45A0-A1E8-8A9DE7AD737C}"/>
    <hyperlink ref="J127" r:id="rId399" xr:uid="{3B224783-48A1-45AC-B5B4-DF040C05832C}"/>
    <hyperlink ref="J95" r:id="rId400" xr:uid="{0C03CE36-1C3E-4891-A32C-D88B376DD262}"/>
    <hyperlink ref="K95" r:id="rId401" xr:uid="{958E30E1-6361-4BB6-8FD3-F9EE523BF233}"/>
    <hyperlink ref="J201" r:id="rId402" xr:uid="{C14ED74E-A229-4936-B557-D151B9DE2718}"/>
    <hyperlink ref="K201" r:id="rId403" xr:uid="{2962AFBF-DB67-44AD-AC41-A2EBD89EC71D}"/>
    <hyperlink ref="J66" r:id="rId404" xr:uid="{1034EA63-14EC-4235-8FD5-0722313F4C61}"/>
    <hyperlink ref="K66" r:id="rId405" xr:uid="{6A59BE57-301E-4E37-AAB0-B7BA0CD5D151}"/>
    <hyperlink ref="J213" r:id="rId406" xr:uid="{6CCFEA54-C940-4B44-9A14-FE7DEA70F774}"/>
    <hyperlink ref="K213" r:id="rId407" xr:uid="{9ECFE4F8-07A3-4FCA-88FB-6DFCB8E6128B}"/>
    <hyperlink ref="J174" r:id="rId408" xr:uid="{E388674F-8197-44DD-AA9F-49735E357170}"/>
    <hyperlink ref="K174" r:id="rId409" xr:uid="{66764AA2-D1C7-411A-B659-C63EF487F452}"/>
    <hyperlink ref="J8" r:id="rId410" xr:uid="{4DDFADF3-7A68-472F-9E7B-E49ACE757A48}"/>
    <hyperlink ref="K8" r:id="rId411" xr:uid="{6335E31B-BC1D-45A9-A6D8-B930D9E2C5B1}"/>
    <hyperlink ref="J90" r:id="rId412" xr:uid="{0A22F7B7-8F3C-4F35-A366-91BC26E568F9}"/>
    <hyperlink ref="K90" r:id="rId413" xr:uid="{5E191055-7675-4DDA-970C-00CC94895A07}"/>
    <hyperlink ref="J195" r:id="rId414" xr:uid="{AAABE73E-D232-4C94-B46D-83B03FC40DDA}"/>
    <hyperlink ref="K195" r:id="rId415" xr:uid="{7475E3C9-7882-404A-A370-B2AB17297C37}"/>
    <hyperlink ref="J258" r:id="rId416" xr:uid="{8B31D26C-134C-45BB-A13A-E7BD5A260A23}"/>
    <hyperlink ref="K258" r:id="rId417" xr:uid="{1012CDE2-E416-47FE-91F0-4F675AD32EB8}"/>
    <hyperlink ref="J114" r:id="rId418" xr:uid="{4937DE57-2D06-4D6E-BFAC-17D3B335D54C}"/>
    <hyperlink ref="K114" r:id="rId419" xr:uid="{6D51B070-1A8B-4AB1-BC9E-EB08083BFEE8}"/>
    <hyperlink ref="J256" r:id="rId420" xr:uid="{6F767548-1BC8-4E2D-8CEA-784BCB10CFF3}"/>
    <hyperlink ref="K256" r:id="rId421" xr:uid="{E679CFA7-0266-482C-A786-1FF7116F5E38}"/>
    <hyperlink ref="K93" r:id="rId422" xr:uid="{8A6C119C-02EF-403A-B55C-864B28484E9C}"/>
    <hyperlink ref="K196" r:id="rId423" xr:uid="{4E316023-CF3A-4F8F-8112-B8B4CB3B31CD}"/>
    <hyperlink ref="J93" r:id="rId424" xr:uid="{DD4F0646-5F14-4976-9F4C-77746610C95F}"/>
    <hyperlink ref="J193" r:id="rId425" xr:uid="{1B1DDF65-BB1D-4AB1-BD9C-B33CB0074562}"/>
    <hyperlink ref="K193" r:id="rId426" xr:uid="{A9EC7BD0-8D28-4154-A07E-E79CFE1ED788}"/>
    <hyperlink ref="J4" r:id="rId427" xr:uid="{4FFF6EE6-D3EB-43A3-8962-6839D6F53FDB}"/>
    <hyperlink ref="K4" r:id="rId428" xr:uid="{FC787901-EF35-4F1F-9404-FD4B2D8EE85F}"/>
    <hyperlink ref="J249" r:id="rId429" xr:uid="{0BB81505-13A8-41B1-A9C1-2CFDFAC8AEB8}"/>
    <hyperlink ref="K249" r:id="rId430" xr:uid="{54D9B1D4-960A-4461-A5AE-23776ED09CBA}"/>
    <hyperlink ref="J252" r:id="rId431" xr:uid="{20AE0B49-64A3-4D2B-AFF9-C393F6E00D41}"/>
    <hyperlink ref="K252" r:id="rId432" xr:uid="{94B4531E-1E63-4EE7-9E3E-617DDE0609D7}"/>
    <hyperlink ref="J9" r:id="rId433" xr:uid="{B81B0AEE-F510-48FE-AF89-E1B8F691A78D}"/>
    <hyperlink ref="K9" r:id="rId434" xr:uid="{EDB099BF-1648-4C43-A358-A8C17EB95C4F}"/>
    <hyperlink ref="J63" r:id="rId435" xr:uid="{17B60F75-7918-4CB8-93AC-993683C6909C}"/>
    <hyperlink ref="K63" r:id="rId436" xr:uid="{AB576189-A530-4D06-B9D2-480C3C898826}"/>
    <hyperlink ref="J191" r:id="rId437" xr:uid="{502ACA48-2AE9-4436-927E-BB98A752D693}"/>
    <hyperlink ref="K191" r:id="rId438" xr:uid="{BCF3415A-7F28-4AD1-81A3-AAA5F513CBF8}"/>
    <hyperlink ref="J183" r:id="rId439" xr:uid="{35C59C65-128D-4AE5-BCC6-55562BF15D11}"/>
    <hyperlink ref="K183" r:id="rId440" xr:uid="{A2699B26-85D9-4AC1-A11C-FC80C8B3D3FD}"/>
    <hyperlink ref="J109" r:id="rId441" xr:uid="{AFEAD208-B095-4200-9C20-82E4DAF0C7D1}"/>
    <hyperlink ref="K109" r:id="rId442" xr:uid="{47EE82F6-3015-4DB4-A968-972C3967EA11}"/>
    <hyperlink ref="J105" r:id="rId443" xr:uid="{8DDDA0A2-01E0-42FB-9F8D-885685B957D6}"/>
    <hyperlink ref="K105" r:id="rId444" xr:uid="{3D133AE9-13FA-4A43-9981-B777793F6363}"/>
    <hyperlink ref="J113" r:id="rId445" xr:uid="{CD8380A9-D95F-46F7-9831-58CD4003E4D9}"/>
    <hyperlink ref="K113" r:id="rId446" xr:uid="{5B3EEF26-D3DF-48FE-8632-9B9565C29017}"/>
    <hyperlink ref="J215" r:id="rId447" xr:uid="{5F6B7806-3FEE-4C4E-8394-048FA02D162C}"/>
    <hyperlink ref="J168" r:id="rId448" xr:uid="{1715B82C-33D0-4C0D-8BDC-5E4427480637}"/>
    <hyperlink ref="K168" r:id="rId449" xr:uid="{C9B5943A-D6DE-4345-BFC2-2A95BCC157C1}"/>
    <hyperlink ref="J160" r:id="rId450" xr:uid="{63E420B3-E1CB-40F1-8B8D-17150EA16AE2}"/>
    <hyperlink ref="K160" r:id="rId451" xr:uid="{BB17944F-2A63-4D5C-8DDB-CB246EBAF112}"/>
    <hyperlink ref="J40" r:id="rId452" xr:uid="{58F67824-32B4-4ED9-B1DB-093B582B9B79}"/>
    <hyperlink ref="K40" r:id="rId453" xr:uid="{82F59428-DAF8-4AEA-9958-75BBC237CB15}"/>
    <hyperlink ref="J150" r:id="rId454" xr:uid="{F256BF9A-31E3-4F9A-AC9C-E3D3F3C0D81D}"/>
    <hyperlink ref="K150" r:id="rId455" xr:uid="{38635671-A904-4E70-8050-D84E3C264FAE}"/>
    <hyperlink ref="J129" r:id="rId456" xr:uid="{238C45BF-CA39-4560-932F-054ED4772F70}"/>
    <hyperlink ref="K129" r:id="rId457" xr:uid="{C88A7419-3E69-495A-9B3B-6A0549DC0071}"/>
    <hyperlink ref="J231" r:id="rId458" xr:uid="{28ED7521-35F1-4840-B0B9-CCFA017FDD20}"/>
    <hyperlink ref="K231" r:id="rId459" xr:uid="{BA1FB549-514D-4A15-B714-C515045A0407}"/>
    <hyperlink ref="J139" r:id="rId460" xr:uid="{3A45AA76-0C4F-4FDD-BC07-243B7A24336E}"/>
    <hyperlink ref="K139" r:id="rId461" xr:uid="{2540B663-ABE1-49C9-B8EC-7A91F2A8F9DF}"/>
    <hyperlink ref="K101" r:id="rId462" xr:uid="{ACD7E46D-9758-41A9-A3BF-F9E4F59F590A}"/>
    <hyperlink ref="J38" r:id="rId463" xr:uid="{FF38E7F2-0467-40AE-9681-90F46EAC5630}"/>
    <hyperlink ref="K38" r:id="rId464" xr:uid="{478B8508-8D5B-4AC6-A13C-59F8C9E74B21}"/>
    <hyperlink ref="J148" r:id="rId465" xr:uid="{B2A498F9-D1F0-4C89-B82F-2288E8B9F624}"/>
    <hyperlink ref="K148" r:id="rId466" xr:uid="{F85B6EC2-F641-4F06-A7FF-92B0AA9DBDBB}"/>
  </hyperlinks>
  <pageMargins left="0.75" right="0.75" top="1" bottom="1" header="0.5" footer="0.5"/>
  <pageSetup orientation="portrait" horizontalDpi="1200" verticalDpi="1200" r:id="rId46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2B8AD18A1471439E620A0A6FE0FF7C" ma:contentTypeVersion="17" ma:contentTypeDescription="Create a new document." ma:contentTypeScope="" ma:versionID="aab29941f077d81161b980a889e9c95b">
  <xsd:schema xmlns:xsd="http://www.w3.org/2001/XMLSchema" xmlns:xs="http://www.w3.org/2001/XMLSchema" xmlns:p="http://schemas.microsoft.com/office/2006/metadata/properties" xmlns:ns2="46fa4376-edb0-421c-a59b-151ca32bc31b" xmlns:ns3="c0b8d6b1-ba38-48d0-8e9f-e765f95454f9" xmlns:ns4="9f0ac7ce-5f57-4ea0-9af7-01d4f3f1ccae" targetNamespace="http://schemas.microsoft.com/office/2006/metadata/properties" ma:root="true" ma:fieldsID="8344d6fd858d5d9de0160eb68e853c0c" ns2:_="" ns3:_="" ns4:_="">
    <xsd:import namespace="46fa4376-edb0-421c-a59b-151ca32bc31b"/>
    <xsd:import namespace="c0b8d6b1-ba38-48d0-8e9f-e765f95454f9"/>
    <xsd:import namespace="9f0ac7ce-5f57-4ea0-9af7-01d4f3f1cc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Notes0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a4376-edb0-421c-a59b-151ca32bc3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Notes0" ma:index="20" nillable="true" ma:displayName="Notes" ma:internalName="Notes0">
      <xsd:simpleType>
        <xsd:restriction base="dms:Text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c6004604-8c32-4241-8b90-5e68b4a33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8d6b1-ba38-48d0-8e9f-e765f95454f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0ac7ce-5f57-4ea0-9af7-01d4f3f1ccae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7e2bcb2e-3b27-46d2-b01b-19ec933f4a02}" ma:internalName="TaxCatchAll" ma:showField="CatchAllData" ma:web="c0b8d6b1-ba38-48d0-8e9f-e765f95454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0ac7ce-5f57-4ea0-9af7-01d4f3f1ccae" xsi:nil="true"/>
    <lcf76f155ced4ddcb4097134ff3c332f xmlns="46fa4376-edb0-421c-a59b-151ca32bc31b">
      <Terms xmlns="http://schemas.microsoft.com/office/infopath/2007/PartnerControls"/>
    </lcf76f155ced4ddcb4097134ff3c332f>
    <Notes0 xmlns="46fa4376-edb0-421c-a59b-151ca32bc31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837E9F-5C0B-4033-99F8-950AFA2F3CDA}"/>
</file>

<file path=customXml/itemProps2.xml><?xml version="1.0" encoding="utf-8"?>
<ds:datastoreItem xmlns:ds="http://schemas.openxmlformats.org/officeDocument/2006/customXml" ds:itemID="{315CBA17-6B2B-45EC-86A9-36046D5319A5}">
  <ds:schemaRefs>
    <ds:schemaRef ds:uri="http://schemas.microsoft.com/office/2006/metadata/properties"/>
    <ds:schemaRef ds:uri="http://schemas.microsoft.com/office/infopath/2007/PartnerControls"/>
    <ds:schemaRef ds:uri="0e5ca2ac-52ac-4627-b7a1-c043944a681f"/>
    <ds:schemaRef ds:uri="9f0ac7ce-5f57-4ea0-9af7-01d4f3f1ccae"/>
  </ds:schemaRefs>
</ds:datastoreItem>
</file>

<file path=customXml/itemProps3.xml><?xml version="1.0" encoding="utf-8"?>
<ds:datastoreItem xmlns:ds="http://schemas.openxmlformats.org/officeDocument/2006/customXml" ds:itemID="{F4768A12-4192-40BA-9696-EB6CA42D55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SORTED SUPPLIER LIST </vt:lpstr>
      <vt:lpstr>CALD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Chrislyn D'Costa</dc:creator>
  <cp:keywords/>
  <dc:description/>
  <cp:lastModifiedBy>Chrislyn D'Costa</cp:lastModifiedBy>
  <cp:revision/>
  <dcterms:created xsi:type="dcterms:W3CDTF">2021-05-14T14:34:42Z</dcterms:created>
  <dcterms:modified xsi:type="dcterms:W3CDTF">2023-04-04T00:50:28Z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0x010100A22B8AD18A1471439E620A0A6FE0FF7C</vt:lpwstr>
  </property>
  <property fmtid="{D5CDD505-2E9C-101B-9397-08002B2CF9AE}" pid="3" name="MediaServiceImageTags">
    <vt:lpwstr/>
  </property>
</Properties>
</file>